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ahnthomas\Leibniz Institut für photonische Technologien e.V\Transferprojekt - Dokumente\EXCEL-Tabelle Hardwarepotential (nach SoftWert)\Finale Version-Hände weg\"/>
    </mc:Choice>
  </mc:AlternateContent>
  <xr:revisionPtr revIDLastSave="293" documentId="8_{6F060EC2-0798-4FBC-8F20-254DA0B9B0E4}" xr6:coauthVersionLast="36" xr6:coauthVersionMax="47" xr10:uidLastSave="{B22CAE99-34AA-428C-AE82-8DE05419EA3F}"/>
  <bookViews>
    <workbookView xWindow="-120" yWindow="-120" windowWidth="28920" windowHeight="12225" xr2:uid="{73A549DA-19E8-4FE2-AF79-FA6138352C39}"/>
  </bookViews>
  <sheets>
    <sheet name="Anleitung+Lizenz" sheetId="16" r:id="rId1"/>
    <sheet name="Bewertungsbogen" sheetId="2" r:id="rId2"/>
    <sheet name="Auswertung" sheetId="11" r:id="rId3"/>
    <sheet name="Fragenkatalog" sheetId="1" r:id="rId4"/>
    <sheet name="Szenarien" sheetId="6" r:id="rId5"/>
    <sheet name="Handlungsempfehlungen" sheetId="7" r:id="rId6"/>
    <sheet name="LookupTabellen" sheetId="9" r:id="rId7"/>
  </sheets>
  <definedNames>
    <definedName name="_xlnm.Print_Area" localSheetId="0">'Anleitung+Lizenz'!#REF!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2" i="1" l="1"/>
  <c r="A2" i="1" l="1"/>
  <c r="A35" i="1" l="1"/>
  <c r="A15" i="1"/>
  <c r="A49" i="1"/>
  <c r="A34" i="1"/>
  <c r="A6" i="1"/>
  <c r="O20" i="2" l="1"/>
  <c r="N20" i="2"/>
  <c r="K20" i="2"/>
  <c r="J20" i="2"/>
  <c r="A41" i="1" l="1"/>
  <c r="O19" i="2"/>
  <c r="N19" i="2"/>
  <c r="K19" i="2"/>
  <c r="J19" i="2"/>
  <c r="A40" i="1"/>
  <c r="A31" i="1" l="1"/>
  <c r="J21" i="2" l="1"/>
  <c r="K21" i="2"/>
  <c r="N21" i="2"/>
  <c r="O21" i="2"/>
  <c r="O53" i="2"/>
  <c r="N53" i="2"/>
  <c r="K53" i="2"/>
  <c r="J53" i="2"/>
  <c r="O52" i="2"/>
  <c r="N52" i="2"/>
  <c r="K52" i="2"/>
  <c r="J52" i="2"/>
  <c r="O51" i="2"/>
  <c r="N51" i="2"/>
  <c r="K51" i="2"/>
  <c r="J51" i="2"/>
  <c r="O50" i="2"/>
  <c r="N50" i="2"/>
  <c r="K50" i="2"/>
  <c r="J50" i="2"/>
  <c r="O49" i="2"/>
  <c r="N49" i="2"/>
  <c r="K49" i="2"/>
  <c r="J49" i="2"/>
  <c r="O48" i="2"/>
  <c r="N48" i="2"/>
  <c r="K48" i="2"/>
  <c r="J48" i="2"/>
  <c r="O43" i="2"/>
  <c r="N43" i="2"/>
  <c r="K43" i="2"/>
  <c r="J43" i="2"/>
  <c r="O42" i="2"/>
  <c r="N42" i="2"/>
  <c r="K42" i="2"/>
  <c r="J42" i="2"/>
  <c r="O41" i="2"/>
  <c r="N41" i="2"/>
  <c r="K41" i="2"/>
  <c r="J41" i="2"/>
  <c r="O40" i="2"/>
  <c r="N40" i="2"/>
  <c r="K40" i="2"/>
  <c r="J40" i="2"/>
  <c r="O39" i="2"/>
  <c r="N39" i="2"/>
  <c r="K39" i="2"/>
  <c r="J39" i="2"/>
  <c r="O38" i="2"/>
  <c r="N38" i="2"/>
  <c r="K38" i="2"/>
  <c r="J38" i="2"/>
  <c r="O33" i="2"/>
  <c r="N33" i="2"/>
  <c r="K33" i="2"/>
  <c r="J33" i="2"/>
  <c r="O32" i="2"/>
  <c r="N32" i="2"/>
  <c r="K32" i="2"/>
  <c r="J32" i="2"/>
  <c r="O31" i="2"/>
  <c r="N31" i="2"/>
  <c r="K31" i="2"/>
  <c r="J31" i="2"/>
  <c r="O30" i="2"/>
  <c r="N30" i="2"/>
  <c r="K30" i="2"/>
  <c r="J30" i="2"/>
  <c r="O29" i="2"/>
  <c r="N29" i="2"/>
  <c r="K29" i="2"/>
  <c r="J29" i="2"/>
  <c r="O28" i="2"/>
  <c r="N28" i="2"/>
  <c r="K28" i="2"/>
  <c r="J28" i="2"/>
  <c r="O27" i="2"/>
  <c r="N27" i="2"/>
  <c r="K27" i="2"/>
  <c r="J27" i="2"/>
  <c r="O22" i="2"/>
  <c r="N22" i="2"/>
  <c r="K22" i="2"/>
  <c r="J22" i="2"/>
  <c r="O18" i="2"/>
  <c r="N18" i="2"/>
  <c r="K18" i="2"/>
  <c r="J18" i="2"/>
  <c r="O17" i="2"/>
  <c r="N17" i="2"/>
  <c r="K17" i="2"/>
  <c r="J17" i="2"/>
  <c r="O16" i="2"/>
  <c r="N16" i="2"/>
  <c r="K16" i="2"/>
  <c r="J16" i="2"/>
  <c r="O15" i="2"/>
  <c r="N15" i="2"/>
  <c r="K15" i="2"/>
  <c r="J15" i="2"/>
  <c r="O14" i="2"/>
  <c r="N14" i="2"/>
  <c r="K14" i="2"/>
  <c r="J14" i="2" l="1"/>
  <c r="A51" i="1" l="1"/>
  <c r="A50" i="1"/>
  <c r="A52" i="1"/>
  <c r="A53" i="1"/>
  <c r="A54" i="1"/>
  <c r="A55" i="1"/>
  <c r="A56" i="1"/>
  <c r="A57" i="1"/>
  <c r="A58" i="1"/>
  <c r="A11" i="1"/>
  <c r="A3" i="1"/>
  <c r="A7" i="1"/>
  <c r="A4" i="1"/>
  <c r="A5" i="1"/>
  <c r="A13" i="1"/>
  <c r="A14" i="1"/>
  <c r="A8" i="1"/>
  <c r="A9" i="1"/>
  <c r="A10" i="1"/>
  <c r="A12" i="1"/>
  <c r="A16" i="1"/>
  <c r="A17" i="1"/>
  <c r="A18" i="1"/>
  <c r="A19" i="1"/>
  <c r="A20" i="1"/>
  <c r="A24" i="1"/>
  <c r="A25" i="1"/>
  <c r="A23" i="1"/>
  <c r="A26" i="1"/>
  <c r="A27" i="1"/>
  <c r="A28" i="1"/>
  <c r="A29" i="1"/>
  <c r="A22" i="1"/>
  <c r="A21" i="1"/>
  <c r="A32" i="1"/>
  <c r="A45" i="1"/>
  <c r="A36" i="1"/>
  <c r="A37" i="1"/>
  <c r="A38" i="1"/>
  <c r="A39" i="1"/>
  <c r="A46" i="1"/>
  <c r="A43" i="1"/>
  <c r="A33" i="1"/>
  <c r="A47" i="1"/>
  <c r="A48" i="1"/>
  <c r="A44" i="1"/>
  <c r="A30" i="1"/>
  <c r="Q20" i="2" l="1"/>
  <c r="M20" i="2"/>
  <c r="L20" i="2"/>
  <c r="I20" i="2"/>
  <c r="E20" i="2"/>
  <c r="D20" i="2"/>
  <c r="C20" i="2"/>
  <c r="B20" i="2"/>
  <c r="P20" i="2"/>
  <c r="Q19" i="2"/>
  <c r="E19" i="2"/>
  <c r="M19" i="2"/>
  <c r="D19" i="2"/>
  <c r="L19" i="2"/>
  <c r="I19" i="2"/>
  <c r="C19" i="2"/>
  <c r="B19" i="2"/>
  <c r="P19" i="2"/>
  <c r="B21" i="2"/>
  <c r="C21" i="2"/>
  <c r="D21" i="2"/>
  <c r="E21" i="2"/>
  <c r="I21" i="2"/>
  <c r="L21" i="2"/>
  <c r="M21" i="2"/>
  <c r="Q21" i="2"/>
  <c r="P21" i="2"/>
  <c r="M17" i="2"/>
  <c r="L16" i="2"/>
  <c r="E30" i="2"/>
  <c r="C32" i="2"/>
  <c r="C40" i="2"/>
  <c r="D43" i="2"/>
  <c r="C51" i="2"/>
  <c r="E40" i="2"/>
  <c r="D48" i="2"/>
  <c r="I27" i="2"/>
  <c r="C49" i="2"/>
  <c r="M18" i="2"/>
  <c r="L17" i="2"/>
  <c r="E31" i="2"/>
  <c r="C33" i="2"/>
  <c r="C41" i="2"/>
  <c r="E49" i="2"/>
  <c r="C52" i="2"/>
  <c r="E27" i="2"/>
  <c r="E22" i="2"/>
  <c r="C14" i="2"/>
  <c r="I15" i="2"/>
  <c r="E39" i="2"/>
  <c r="C42" i="2"/>
  <c r="C53" i="2"/>
  <c r="C15" i="2"/>
  <c r="E51" i="2"/>
  <c r="C28" i="2"/>
  <c r="E15" i="2"/>
  <c r="I22" i="2"/>
  <c r="C30" i="2"/>
  <c r="E17" i="2"/>
  <c r="M53" i="2"/>
  <c r="M52" i="2"/>
  <c r="M51" i="2"/>
  <c r="M50" i="2"/>
  <c r="M49" i="2"/>
  <c r="M48" i="2"/>
  <c r="M43" i="2"/>
  <c r="M42" i="2"/>
  <c r="M41" i="2"/>
  <c r="M40" i="2"/>
  <c r="M39" i="2"/>
  <c r="M38" i="2"/>
  <c r="M33" i="2"/>
  <c r="M32" i="2"/>
  <c r="M31" i="2"/>
  <c r="M30" i="2"/>
  <c r="M29" i="2"/>
  <c r="M28" i="2"/>
  <c r="M27" i="2"/>
  <c r="M22" i="2"/>
  <c r="L18" i="2"/>
  <c r="E32" i="2"/>
  <c r="E50" i="2"/>
  <c r="D27" i="2"/>
  <c r="C43" i="2"/>
  <c r="C16" i="2"/>
  <c r="D39" i="2"/>
  <c r="I28" i="2"/>
  <c r="M15" i="2"/>
  <c r="E43" i="2"/>
  <c r="L53" i="2"/>
  <c r="L52" i="2"/>
  <c r="L51" i="2"/>
  <c r="L50" i="2"/>
  <c r="L49" i="2"/>
  <c r="L48" i="2"/>
  <c r="L43" i="2"/>
  <c r="L42" i="2"/>
  <c r="L41" i="2"/>
  <c r="L40" i="2"/>
  <c r="L39" i="2"/>
  <c r="L38" i="2"/>
  <c r="L33" i="2"/>
  <c r="L32" i="2"/>
  <c r="L31" i="2"/>
  <c r="L30" i="2"/>
  <c r="L29" i="2"/>
  <c r="L28" i="2"/>
  <c r="L27" i="2"/>
  <c r="L22" i="2"/>
  <c r="I16" i="2"/>
  <c r="E48" i="2"/>
  <c r="E41" i="2"/>
  <c r="C17" i="2"/>
  <c r="P18" i="2"/>
  <c r="D41" i="2"/>
  <c r="I17" i="2"/>
  <c r="I18" i="2"/>
  <c r="M14" i="2"/>
  <c r="C29" i="2"/>
  <c r="E42" i="2"/>
  <c r="D40" i="2"/>
  <c r="E53" i="2"/>
  <c r="C48" i="2"/>
  <c r="E16" i="2"/>
  <c r="C18" i="2"/>
  <c r="I52" i="2"/>
  <c r="I51" i="2"/>
  <c r="I50" i="2"/>
  <c r="I49" i="2"/>
  <c r="I48" i="2"/>
  <c r="I43" i="2"/>
  <c r="I42" i="2"/>
  <c r="I41" i="2"/>
  <c r="I40" i="2"/>
  <c r="I39" i="2"/>
  <c r="I38" i="2"/>
  <c r="I33" i="2"/>
  <c r="I32" i="2"/>
  <c r="I31" i="2"/>
  <c r="I30" i="2"/>
  <c r="I53" i="2"/>
  <c r="M16" i="2"/>
  <c r="L15" i="2"/>
  <c r="E29" i="2"/>
  <c r="C31" i="2"/>
  <c r="C39" i="2"/>
  <c r="D42" i="2"/>
  <c r="C50" i="2"/>
  <c r="D38" i="2"/>
  <c r="E18" i="2"/>
  <c r="C22" i="2"/>
  <c r="C38" i="2"/>
  <c r="E14" i="2"/>
  <c r="E33" i="2"/>
  <c r="C27" i="2"/>
  <c r="E52" i="2"/>
  <c r="I29" i="2"/>
  <c r="E28" i="2"/>
  <c r="E38" i="2"/>
  <c r="P38" i="2"/>
  <c r="P50" i="2"/>
  <c r="P43" i="2"/>
  <c r="P53" i="2"/>
  <c r="P22" i="2"/>
  <c r="P27" i="2"/>
  <c r="P51" i="2"/>
  <c r="P32" i="2"/>
  <c r="P52" i="2"/>
  <c r="P49" i="2"/>
  <c r="P29" i="2"/>
  <c r="P28" i="2"/>
  <c r="P39" i="2"/>
  <c r="P48" i="2"/>
  <c r="P30" i="2"/>
  <c r="P31" i="2"/>
  <c r="P17" i="2"/>
  <c r="I14" i="2"/>
  <c r="B14" i="2"/>
  <c r="P14" i="2"/>
  <c r="P40" i="2"/>
  <c r="P33" i="2"/>
  <c r="P16" i="2"/>
  <c r="P15" i="2"/>
  <c r="P41" i="2"/>
  <c r="P42" i="2"/>
  <c r="D49" i="11"/>
  <c r="C49" i="11"/>
  <c r="Q48" i="2"/>
  <c r="Q38" i="2"/>
  <c r="Q27" i="2"/>
  <c r="L14" i="2"/>
  <c r="F23" i="2" l="1"/>
  <c r="F42" i="11"/>
  <c r="F3" i="11"/>
  <c r="F16" i="11"/>
  <c r="G34" i="2"/>
  <c r="D21" i="11" s="1"/>
  <c r="F29" i="11"/>
  <c r="G54" i="2"/>
  <c r="D23" i="11" s="1"/>
  <c r="G44" i="2"/>
  <c r="D22" i="11" s="1"/>
  <c r="G23" i="2"/>
  <c r="F54" i="2"/>
  <c r="I8" i="2" s="1"/>
  <c r="E54" i="2"/>
  <c r="E34" i="2"/>
  <c r="F34" i="2"/>
  <c r="I6" i="2" s="1"/>
  <c r="D45" i="11"/>
  <c r="D46" i="11"/>
  <c r="D47" i="11"/>
  <c r="D48" i="11"/>
  <c r="C46" i="11"/>
  <c r="C47" i="11"/>
  <c r="C48" i="11"/>
  <c r="C45" i="11"/>
  <c r="C23" i="11" l="1"/>
  <c r="C21" i="11"/>
  <c r="D20" i="11"/>
  <c r="D26" i="11" s="1"/>
  <c r="C42" i="11" l="1"/>
  <c r="Q14" i="2"/>
  <c r="U25" i="2"/>
  <c r="U36" i="2"/>
  <c r="U46" i="2"/>
  <c r="T25" i="2"/>
  <c r="J5" i="2"/>
  <c r="E23" i="2" l="1"/>
  <c r="I9" i="2" l="1"/>
  <c r="C24" i="11" s="1"/>
  <c r="B48" i="2"/>
  <c r="I5" i="2" l="1"/>
  <c r="D24" i="11"/>
  <c r="D36" i="11" s="1"/>
  <c r="C20" i="11"/>
  <c r="D14" i="2"/>
  <c r="D15" i="2"/>
  <c r="G1" i="11" l="1"/>
  <c r="O1" i="11" s="1"/>
  <c r="B1" i="11"/>
  <c r="M1" i="11" s="1"/>
  <c r="A3" i="11"/>
  <c r="B49" i="2"/>
  <c r="D49" i="2"/>
  <c r="Q49" i="2"/>
  <c r="B50" i="2"/>
  <c r="D50" i="2"/>
  <c r="Q50" i="2"/>
  <c r="B51" i="2"/>
  <c r="D51" i="2"/>
  <c r="Q51" i="2"/>
  <c r="B52" i="2"/>
  <c r="D52" i="2"/>
  <c r="Q52" i="2"/>
  <c r="B53" i="2"/>
  <c r="D53" i="2"/>
  <c r="Q53" i="2"/>
  <c r="B40" i="2"/>
  <c r="Q40" i="2"/>
  <c r="B41" i="2"/>
  <c r="Q41" i="2"/>
  <c r="B42" i="2"/>
  <c r="Q42" i="2"/>
  <c r="B43" i="2"/>
  <c r="Q43" i="2"/>
  <c r="B39" i="2"/>
  <c r="Q39" i="2"/>
  <c r="B38" i="2"/>
  <c r="B28" i="2"/>
  <c r="D28" i="2"/>
  <c r="Q28" i="2"/>
  <c r="B29" i="2"/>
  <c r="D29" i="2"/>
  <c r="Q29" i="2"/>
  <c r="B30" i="2"/>
  <c r="D30" i="2"/>
  <c r="Q30" i="2"/>
  <c r="B31" i="2"/>
  <c r="D31" i="2"/>
  <c r="Q31" i="2"/>
  <c r="B32" i="2"/>
  <c r="D32" i="2"/>
  <c r="Q32" i="2"/>
  <c r="B33" i="2"/>
  <c r="D33" i="2"/>
  <c r="Q33" i="2"/>
  <c r="B27" i="2"/>
  <c r="Q22" i="2"/>
  <c r="D22" i="2"/>
  <c r="B22" i="2"/>
  <c r="B15" i="2"/>
  <c r="Q15" i="2"/>
  <c r="B16" i="2"/>
  <c r="D16" i="2"/>
  <c r="Q16" i="2"/>
  <c r="B17" i="2"/>
  <c r="D17" i="2"/>
  <c r="Q17" i="2"/>
  <c r="B18" i="2"/>
  <c r="D18" i="2"/>
  <c r="Q18" i="2"/>
  <c r="A5" i="6"/>
  <c r="A6" i="6"/>
  <c r="A7" i="6"/>
  <c r="A8" i="6"/>
  <c r="A9" i="6"/>
  <c r="A10" i="6"/>
  <c r="A11" i="6"/>
  <c r="A12" i="6"/>
  <c r="A13" i="6"/>
  <c r="A14" i="6"/>
  <c r="A15" i="6"/>
  <c r="A16" i="6"/>
  <c r="A17" i="6"/>
  <c r="A18" i="6"/>
  <c r="A19" i="6"/>
  <c r="A4" i="6"/>
  <c r="E44" i="2" l="1"/>
  <c r="F44" i="2"/>
  <c r="I7" i="2" s="1"/>
  <c r="C22" i="11" l="1"/>
  <c r="K8" i="11" l="1"/>
  <c r="K13" i="11" s="1"/>
  <c r="K18" i="11" s="1"/>
  <c r="K23" i="11" s="1"/>
  <c r="K28" i="11" s="1"/>
  <c r="K33" i="11" s="1"/>
  <c r="K38" i="11" s="1"/>
  <c r="K43" i="11" s="1"/>
  <c r="K48" i="11" s="1"/>
  <c r="L3" i="11"/>
  <c r="K2" i="11"/>
  <c r="A33" i="11"/>
  <c r="A26" i="11"/>
  <c r="A36" i="11"/>
  <c r="L8" i="11" l="1"/>
  <c r="L23" i="11"/>
  <c r="M23" i="11"/>
  <c r="L28" i="11"/>
  <c r="M13" i="11"/>
  <c r="L13" i="11"/>
  <c r="M8" i="11"/>
  <c r="M18" i="11"/>
  <c r="L18" i="11"/>
  <c r="E11" i="11"/>
  <c r="E12" i="11" s="1"/>
  <c r="M28" i="11" l="1"/>
  <c r="L33" i="11"/>
  <c r="L38" i="11" l="1"/>
  <c r="M33" i="11"/>
  <c r="M43" i="11" l="1"/>
  <c r="M38" i="11"/>
  <c r="M48" i="11" l="1"/>
  <c r="L43" i="11"/>
  <c r="L48" i="11" l="1"/>
</calcChain>
</file>

<file path=xl/sharedStrings.xml><?xml version="1.0" encoding="utf-8"?>
<sst xmlns="http://schemas.openxmlformats.org/spreadsheetml/2006/main" count="892" uniqueCount="561">
  <si>
    <t>Bewertungstool HARDWARE</t>
  </si>
  <si>
    <t>Tool zur Einschätzung des Verwertungspotentials von Hardware, basierend auf der Einschätzung verschiedener Aspekte (vier Dimensionen). Zusätzlich wird eine Handlungsempfehlung für die nächsten Schritte sowie eine Einschätzung gegeben, ob die Hardware für eine Ausgründung geeignet ist.</t>
  </si>
  <si>
    <t>1. Eingabe der allgemeinen Informationen der zu bewertenden Hardware, um diese später identifizieren zu können.</t>
  </si>
  <si>
    <t>2. Festlegen der Schwellenwerte (in Prozent)</t>
  </si>
  <si>
    <t xml:space="preserve">Institution </t>
  </si>
  <si>
    <t>Dimensionen</t>
  </si>
  <si>
    <t>Bewertung</t>
  </si>
  <si>
    <t>Zuversicht</t>
  </si>
  <si>
    <t>Vollständigkeit Startup</t>
  </si>
  <si>
    <t>Case ID</t>
  </si>
  <si>
    <t>Hardware</t>
  </si>
  <si>
    <t>Kurze Beschreibung</t>
  </si>
  <si>
    <t>Team</t>
  </si>
  <si>
    <t>Einrichtung</t>
  </si>
  <si>
    <t>Markt</t>
  </si>
  <si>
    <t>Ausgründung</t>
  </si>
  <si>
    <t>Eine detaillierte Auswertung mit Handlungsempfehlungen und offenen Fragen/ToDos ist im Tabellenblatt "Auswertung" zu finden!</t>
  </si>
  <si>
    <t>Mindestwert, ab der die Dimension als Erfolgsfaktor gesehen werden kann.</t>
  </si>
  <si>
    <t>Mindestwert für eine aussagekräftige Bewertung.</t>
  </si>
  <si>
    <t>3. Beantwortung der einzelnen Fragen per Dropdown-Feld. Nur relevante Felder sind auswählbar. Fragen, bei denen nicht alle Spalten beantwortet werden, gelten als nicht beantwortet und reduzieren die Wertung und Zuversicht. Sollen Fragen nicht in die Berechnung einbezogen werden, kann hierfür "nicht relevant" ausgewählt werden.</t>
  </si>
  <si>
    <t>HARDWARE</t>
  </si>
  <si>
    <t>ID</t>
  </si>
  <si>
    <t>Frage</t>
  </si>
  <si>
    <t>Nein (schlecht = 0)</t>
  </si>
  <si>
    <t>dazwischen (0,5)</t>
  </si>
  <si>
    <t>Ja (gut = 1)</t>
  </si>
  <si>
    <t>Bewertung der Frage</t>
  </si>
  <si>
    <t>Wie sicher ist die Antwort</t>
  </si>
  <si>
    <t>Kritische Frage</t>
  </si>
  <si>
    <t>Gewichtung Dimension</t>
  </si>
  <si>
    <t>Punkte Prozent</t>
  </si>
  <si>
    <t>Punkte Altes System</t>
  </si>
  <si>
    <t>Gewichtung Startup</t>
  </si>
  <si>
    <t>Punkte Startup</t>
  </si>
  <si>
    <t>Punkte Zuversicht</t>
  </si>
  <si>
    <t>Ausgabe Probleme</t>
  </si>
  <si>
    <t>Ausgabe offene Fragen</t>
  </si>
  <si>
    <t>Beschreibung</t>
  </si>
  <si>
    <t>H01a</t>
  </si>
  <si>
    <t>nein</t>
  </si>
  <si>
    <t>H01b</t>
  </si>
  <si>
    <t>H01c</t>
  </si>
  <si>
    <t>H01d</t>
  </si>
  <si>
    <t>H02a</t>
  </si>
  <si>
    <t>H02e</t>
  </si>
  <si>
    <t>H02f</t>
  </si>
  <si>
    <t>H03c</t>
  </si>
  <si>
    <t>H03d</t>
  </si>
  <si>
    <t>Wertung (Punkte)</t>
  </si>
  <si>
    <t>Wertung (Prozent)</t>
  </si>
  <si>
    <t>TEAM</t>
  </si>
  <si>
    <t>Antwort</t>
  </si>
  <si>
    <t>Zuversicht der Bewertung</t>
  </si>
  <si>
    <t>Gewichtete Wertung</t>
  </si>
  <si>
    <t>Gewichtung Spinout</t>
  </si>
  <si>
    <t>Punkte Spinout</t>
  </si>
  <si>
    <t>T01a</t>
  </si>
  <si>
    <t>T01b</t>
  </si>
  <si>
    <t>T02a</t>
  </si>
  <si>
    <t>T02b</t>
  </si>
  <si>
    <t>T03a</t>
  </si>
  <si>
    <t>T03b</t>
  </si>
  <si>
    <t>T03c</t>
  </si>
  <si>
    <t>EINRICHTUNG</t>
  </si>
  <si>
    <t>E01a</t>
  </si>
  <si>
    <t>E01b</t>
  </si>
  <si>
    <t>E02a</t>
  </si>
  <si>
    <t>E02b</t>
  </si>
  <si>
    <t>E03a</t>
  </si>
  <si>
    <t>E03b</t>
  </si>
  <si>
    <t>MARKT</t>
  </si>
  <si>
    <t>M01a</t>
  </si>
  <si>
    <t>M02a</t>
  </si>
  <si>
    <t>M02b</t>
  </si>
  <si>
    <t>M02c</t>
  </si>
  <si>
    <t>M02d</t>
  </si>
  <si>
    <t>M02g</t>
  </si>
  <si>
    <t>Institution</t>
  </si>
  <si>
    <t>Beschreibung Projekt</t>
  </si>
  <si>
    <t>Handlungsempfehlungen</t>
  </si>
  <si>
    <t xml:space="preserve">Wichtigste Handlungsempfehlung: </t>
  </si>
  <si>
    <t>Anteil beantworte Fragen</t>
  </si>
  <si>
    <t>Toleranzen</t>
  </si>
  <si>
    <t>Code</t>
  </si>
  <si>
    <t>Dimension</t>
  </si>
  <si>
    <t>Cluster</t>
  </si>
  <si>
    <t>Fragecode</t>
  </si>
  <si>
    <t>Bezeichnung</t>
  </si>
  <si>
    <t>Fragebogen</t>
  </si>
  <si>
    <t>Satz</t>
  </si>
  <si>
    <t>Gewichtung</t>
  </si>
  <si>
    <t>Gewichtung Ausgründung</t>
  </si>
  <si>
    <t>a</t>
  </si>
  <si>
    <t>Motivation Einrichtung</t>
  </si>
  <si>
    <t>beide</t>
  </si>
  <si>
    <t>Passt die Verwertung der Hardware zur strategischen Ausrichtung der Einrichtung?</t>
  </si>
  <si>
    <t>Die Verwertung der Hardware passt zu der strategischen Ausrichtung und den Zielen der Einrichtung.</t>
  </si>
  <si>
    <t>Die Verwertung passt nicht zur strategischen Ausrichtung der Einrichtung.</t>
  </si>
  <si>
    <t>Die Hardware passt nur bedingt zur Einrichtung und/oder es besteht ein Interesse an der Verwertung.</t>
  </si>
  <si>
    <t>Die Hardware passt in das Portfolio der Einrichtung und soll verwertet werden.</t>
  </si>
  <si>
    <t>Aus verschiedenen Gründen kann die Verwertung der Hardware nicht zur Einrichtung passen oder kein Interesse an der Verwertung seitens der Einrichtung bestehen. Gründe können sein: die Verwertung passt nicht ins bestehende Portfolio, schränkt zukünftige Forschungsaktivitäten ein (z.B. durch den Wegfall von Know-how), bedient einen Markt, der nicht von der Einrichtung gewünscht ist (z.B. militärische Nutzung) oder hat nichts mit der Ausrichtung der Einrichtung generell zu tun.</t>
  </si>
  <si>
    <t>b</t>
  </si>
  <si>
    <t>Passen die Vorstellungen von Team und Einrichtung bzgl. der Hardwareverwertung zusammen?</t>
  </si>
  <si>
    <t>Die Einrichtung hat die gleichen Vorstellungen von der Verwertung wie das Projektteam.</t>
  </si>
  <si>
    <t>Die Vorstellungen passen nicht zusammen und keine der beiden Seiten ist kompromissbereit.</t>
  </si>
  <si>
    <t>Die Vorstellungen passen nicht zusammen, die Einrichtung ist aber kompromissbereit.</t>
  </si>
  <si>
    <t>Die Vorstellungen passen zusammen.</t>
  </si>
  <si>
    <t>Haben Einrichtung und Entwicklerteam die gleichen Erwartungen bzgl. der Verwertung der Hardware? Möchte die Einrichtung die Hardware z.B. kommerziell verwerten, das Team jedoch als Open Source veröffentlichen, dann entsteht ein Mehraufwand für die Vermittlung beider Seiten. Ausschlaggebend ist weiterhin, wie aufgeschlossen die Einrichtung/Lehrstuhl für Kompromisse ist.</t>
  </si>
  <si>
    <t>Abhängigkeiten</t>
  </si>
  <si>
    <t>Liegen alle Nutzungs- und Verwertungsrechte bei der Einrichtung?</t>
  </si>
  <si>
    <t>Alle Nutzungs- und Verwertungsrechte liegen bei der Einrichtung.</t>
  </si>
  <si>
    <t>Nicht alle Rechte liegen bei der Einrichtung.</t>
  </si>
  <si>
    <t>Rechte können noch erworben oder geklärt werden.</t>
  </si>
  <si>
    <t>Die Einrichtung besitzt alle Nutzungs- und Verwertungsrechte.</t>
  </si>
  <si>
    <t>Für eine Verwertung durch die Einrichtung ist es notwendig, dass alle Rechte bei der Einrichtung liegen. Ist dies nicht der Fall oder noch unklar, dann müssen diese Rechte wenn möglich über Lizenzen oder Kauf erworben werden.</t>
  </si>
  <si>
    <t>Ist eine Verwertung der Hardware trotz bestehender Rahmenverträge (Auftragsforschung, FuE-Projekt, Kooperationsverträge, Verpflichtungen aufgrund staatlicher Unterstützung) möglich?</t>
  </si>
  <si>
    <t>Eine Verwertung ist trotz bestehender Rahmenverträge (Auftragsforschung, FuE Projekt, Kooperationsverträgen, Verpflichtungen aufgrund staatlicher Unterstützung) möglich.</t>
  </si>
  <si>
    <t>Eine Verwertung wird durch bestehende Verträge explizit ausgeschlossen.</t>
  </si>
  <si>
    <t>Die Verwertungsmodalitäten müssen noch mit den Kooperationspartnern, Geldgebern usw. geklärt werden.</t>
  </si>
  <si>
    <t>Die Verwertung ist ausdrücklich erlaubt.</t>
  </si>
  <si>
    <t>Entwicklung und Verwertung der Hardware können durch bestehende Verträge oder Kooperationen erlaubt oder ausgeschlossen sein. Ist eine Verwertung ausgeschlossen, dann ist zu prüfen, was dennoch an Verwertung möglich ist.</t>
  </si>
  <si>
    <t>c</t>
  </si>
  <si>
    <t>Die Hardware lässt sich militärisch nutzen und fällt unter Exportkontrollvorschriften.</t>
  </si>
  <si>
    <t>Es ist unklar oder zu noch zu klären, ob die Hardware militärisch nutzbar oder exportkontrollrechtlich relevant ist.</t>
  </si>
  <si>
    <t>Eine militärische Nutzung kann ausgeschlossen werden; Exportkontrollvorschriften stehen der Verwertung nicht entgegen.</t>
  </si>
  <si>
    <t>Hier wird geprüft, ob die Hardware dem DualUse-Bereich (neben ziviler Nutzung auch ggf. militärische Nutzung möglich) zuzuordnen ist und exportkontrollrechtliche Vorgaben auslöst. Ist dies der Fall, kann die Verwertung erheblich eingeschränkt, genehmigungspflichtig oder in bestimmten Fällen ausgeschlossen sein. Daher ist frühzeitig zu klären, ob die Hardware zivilen Zwecken vorbehalten ist oder aufgrund ihres Einsatzpotentials besonderen rechtlichen Beschränkungen unterliegt.</t>
  </si>
  <si>
    <t>Ressourcen Einrichtung</t>
  </si>
  <si>
    <t>Kann die Einrichtung Ressourcen für Betrieb, Wartung und Support der Hardware zur Verfügung zu stellen?</t>
  </si>
  <si>
    <t>Die Einrichtung kann für Verwertung und ggfs. Betrieb/Wartung/Support der Hardware weitere Ressourcen zur Verfügung stellen.</t>
  </si>
  <si>
    <t>Die Einrichtung kann keine Ressourcen zur Verfügung stellen.</t>
  </si>
  <si>
    <t>Die Einrichtung kann nur einen Teil der notwendigen Ressourcen bereitstellen.</t>
  </si>
  <si>
    <t>Die Einrichtung kann entsprechende Ressourcen bereitstellen.</t>
  </si>
  <si>
    <t>Kann die Einrichtung neben den bereitgestellten Ressourcen für das Team auch weitere Ressourcen zur Verfügung stellen? Dies können bspw. finanzielle, materielle oder personelle Ressourcen sein, aber auch die Unterstützung durch andere Abteilungen (z.B. Kommunikation). Je nach Art der Verwertung (z.B. HaaS) kann es auch notwendig sein, Ressourcen für den Betrieb der Hardware bereit zu stellen.</t>
  </si>
  <si>
    <t>Ist ein Abbruch der Entwicklung und der Verwertung für die Einrichtung tragbar?</t>
  </si>
  <si>
    <t>Ein Abbruch der Entwicklung und Verwertung wäre für die Einrichtung tragbar.</t>
  </si>
  <si>
    <t>Ein Abbruch wäre nicht tragbar.</t>
  </si>
  <si>
    <t>Der Abbruch könnte kompensiert werden.</t>
  </si>
  <si>
    <t>Ein Abbruch wäre verkraftbar.</t>
  </si>
  <si>
    <t>Wird keine Verwertung gestartet oder muss die Entwicklung abgebrochen werden, kann dies negative Auswirkungen für die Einrichtung haben. Dies kann beispielsweise den Verlust von Ansehen oder finanzielle Verluste bedeuten.</t>
  </si>
  <si>
    <t>Bietet die Einrichtung für Gründer den notwendigen Support (fachliches Know-how, finanzielle Mittel, Räumlichkeiten, Equipment), um die Ausgründung erfolgreich zu entwickeln?</t>
  </si>
  <si>
    <t>Die Einrichtung bietet aktuell keinerlei Unterstützung für die erfolgreiche Entwicklung einer Ausgründung.</t>
  </si>
  <si>
    <t>Die Einrichtung verfügt selbst nicht über Background und Support im Bereich Unternehmensgründungen, hat aber am Ort verbundene Institutionen, die bei Ausgründungen helfen können.</t>
  </si>
  <si>
    <t>Die Institution hat selbst einen breiten Background im Bereich Unternehmensgründungen und bietet Ausgründungen den erforderlichen Support an.</t>
  </si>
  <si>
    <t>Ausgründungen benötigen Unterstützung, um den Unternehmensaufbau voranzutreiben. Neben fachlichem Support im Bereich Unternehmensentwicklung kann hierzu v.a. finanzieller Support (u.a. Gehälter während der Gründungsphase, Gelder für Sachmittel) oder auch Support in Form von Equipment und Räumlichkeiten (die die Ausgründung kostengünstig nutzen kann) erforderlich sein.</t>
  </si>
  <si>
    <t>d</t>
  </si>
  <si>
    <t>Verfügt die Einrichtung über ein Netzwerk von Partnern, die die Ausgründung nutzen kann und diese voranbringen?</t>
  </si>
  <si>
    <t>Es sind keine nützlichen Partner vorhanden.</t>
  </si>
  <si>
    <t>Es gibt die Möglichkeit potenzielle Partner über die Einrichtung anzusprechen.</t>
  </si>
  <si>
    <t>Es gibt ein Netzwerk hochwertiger Partner, mit denen die Ausgründung zusammenarbeiten kann.</t>
  </si>
  <si>
    <t>Ausgründungen benötigen Zugang zu verschiedensten Gruppen und Unternehmen, um die Entwicklung voranzubringen. Dies können bspw. Ausgründungs-Advisor/Experten, spezialisierte Anwälte/Notare, andere Ausgründungen, Investoren oder auch Unternehmen für die Kundenakquise sein. Außerdem ist ein breites Netzwerk von Unternehmen wichtig, um über die Institution eine gewisse Glaubwürdigkeit zu erhalten und etwaige Produktverkäufe oder Pilotprojekte durchführen zu können.</t>
  </si>
  <si>
    <t>e</t>
  </si>
  <si>
    <t>Kann die Einrichtung das Ausgründungsteam mit Co-Foundern sowie weiteren (hochqualifizierten) Mitarbeitern ergänzen (bspw. durch eigenen Talentpool, Ausschreibungen, verbundene Institutionen, Lehrstühle etc.)?</t>
  </si>
  <si>
    <t>Die Einrichtung bietet für Ausgründungen keine Möglichkeit der Talentakquise.</t>
  </si>
  <si>
    <t>Die Institution verfügt punktuell/einzelfallabhängig über Möglichkeiten, Co-Founder/Mitarbeiter für die Ausgründung zu gewinnen.</t>
  </si>
  <si>
    <t>Die Einrichtung verfügt über verschiedene Möglichkeiten, Ausgründungen mit Personal auszustatten.</t>
  </si>
  <si>
    <t>Neben dem Gründerteam benötigt die Ausgründung in ihrer Aufbauphase meist weitere Mitarbeiter in verschiedenen Bereichen. Von Vorteil ist, wenn die Institution auf vorhandene Talente zurückzugreifen kann oder Quellen dafür hat.</t>
  </si>
  <si>
    <t>f</t>
  </si>
  <si>
    <t>Verfügt die Institution über Kontakte zu Risikokapitalgebern, Banken, BusinessAngels usw., die der Ausgründung eine (Anschluss-)Finanzierung ermöglichen?</t>
  </si>
  <si>
    <t xml:space="preserve">Es ist kein Netzwerk vorhanden </t>
  </si>
  <si>
    <t>Es gibt die Möglichkeit, über eigene Kontakte Verbindung zu Anschlußfinanzierern herzustellen.</t>
  </si>
  <si>
    <t>Die Einrichtung ist bezüglich Anschlussfinanzierung sehr gut mit potenziellen Geldgebern vernetzt.</t>
  </si>
  <si>
    <t>Ausgründungen benötigen zu Beginn oft finanzielle Unterstützung. Daher ist es wichtig, im Umfeld der Institution vorhandene Kontakte zu anderen Ausgründungs-Finanzierern wie z.B. Banken, Venture Capital-Gebern, Business Angels usw. vorzuweisen, die auf eine Finanzierung (und Weiterentwicklung) von Ausgründungen spezialisiert sind.</t>
  </si>
  <si>
    <t>Zukünftige Forschungsaktivitäten</t>
  </si>
  <si>
    <t>lang</t>
  </si>
  <si>
    <t>Ist die Verwertung der Hardware mit zukünftigen Forschungsaktivitäten vereinbar?</t>
  </si>
  <si>
    <t>Eine Verwertung ist mit zukünftigen Forschungsaktivitäten vereinbar?</t>
  </si>
  <si>
    <t>Die Verwertung ist nicht mit zukünftigen Forschungsaktivitäten vereinbar.</t>
  </si>
  <si>
    <t>Die Verwertung ist vereinbar, birgt jedoch zukünftige Risiken.</t>
  </si>
  <si>
    <t>Die Verwertung ist mit den Forschungsaktivitäten vereinbar.</t>
  </si>
  <si>
    <t>Zukünftige Forschungsaktivitäten können durch bestimmte Verwertungsformen behindert werden. Beispielsweise dann, wenn das Know-how nach der Verwertung ausschließlich bei den externen Kooperations-partnern liegt.</t>
  </si>
  <si>
    <t>Ist davon auszugehen, dass das Know-how langfristig bei der Einrichtung gesichert ist?</t>
  </si>
  <si>
    <t>Das Know-how ist längerfristig an der Einrichtung gesichert.</t>
  </si>
  <si>
    <t>Das Know-how wird verloren gehen.</t>
  </si>
  <si>
    <t>Das Know-how ist nur mittelfristig gesichert.</t>
  </si>
  <si>
    <t>Das Know-how ist langfristig gesichert.</t>
  </si>
  <si>
    <t>Know-How kann durch Weggang von Mitarbeitern verloren gehen oder durch die Notwendigkeit, eine Lizenz für Beratungs- und Serviceleistungen annehmen zu müssen. Unter „langfristig“ kann ein Zeitraum zwischen 3-5 Jahren verstanden werden.</t>
  </si>
  <si>
    <t>Erleichtert eine als open veröffentlichte Hardware die Zusammenarbeit mit anderen Einrichtungen?</t>
  </si>
  <si>
    <t>Die Zusammenarbeit mit anderen Einrichtungen wird durch die open-Stellung verbessert.</t>
  </si>
  <si>
    <t>Eine open-Veröffentlichung der Hardware erschwert oder verhindert die Zusammenarbeit mit anderen Einrichtungen.</t>
  </si>
  <si>
    <t>Die Auswirkungen einer open-Veröffentlichung auf die Zusammenarbeit mit anderen Einrichtungen sind derzeit nicht eindeutig abschätzbar.</t>
  </si>
  <si>
    <t>Eine open-Veröffentlichung der Hardware erleichtert die Zusammenarbeit mit anderen Einrichtungen.</t>
  </si>
  <si>
    <t>Hier ist zu bewerten, ob die open-Bereitstellung der Hardware die Kooperation mit anderen Einrichtungen fördert. Eine open-Veröffentlichung kann gemeinsame Weiterentwicklung, Nachnutzung, Standardisierung und transparente Arbeitsteilung erleichtern. Sie kann damit dazu beitragen, Forschungsnetzwerke auszubauen, Doppelarbeit zu vermeiden und die Sichtbarkeit der Einrichtung im wissenschaftlichen Umfeld zu erhöhen.</t>
  </si>
  <si>
    <t>Nachfrage/Bedarf</t>
  </si>
  <si>
    <t>Gibt es für die Hardware einen belastbaren und ggfs. einen quantifizierbaren Bedarf oder wird sich dieser in absehbarer Zukunft entwickeln?</t>
  </si>
  <si>
    <t>Es gibt für die Hardware einen belastbaren und ggfs. quantifizierbaren Bedarf und/oder dieser wird sich in absehbarer Zukunft entwickeln.</t>
  </si>
  <si>
    <t>Es existiert kein Bedarf außerhalb der Einrichtung.</t>
  </si>
  <si>
    <t>Es gibt noch keinen Bedarf, dieser wird sich aber zukünftig entwickeln.</t>
  </si>
  <si>
    <t>Es gibt einen Bedarf.</t>
  </si>
  <si>
    <t>Allgemeine Frage zur Nachfrage der Hardware auf dem Markt: Gibt es Bedarf für die Hardware oder wird sich dieser in absehbarer Zukunft entwickeln?</t>
  </si>
  <si>
    <t>Ist der Markt ausreichend groß für die Verwertung?</t>
  </si>
  <si>
    <t>Der Markt ist ausreichend groß für eine Verwertung.</t>
  </si>
  <si>
    <t>Es gibt so gut wie keinen oder nur kleinen Markt.</t>
  </si>
  <si>
    <t>Der Markt ist ausreichend für die Hardware.</t>
  </si>
  <si>
    <t>Der Markt ist größer als erwartet.</t>
  </si>
  <si>
    <t>Gibt es genügend Nachfrage, so dass sich die Verwertung der Hardware lohnt?</t>
  </si>
  <si>
    <t>Hat der Markt Wachstumspotential?</t>
  </si>
  <si>
    <t>Der Markt zeigt wachsende Tendenz.</t>
  </si>
  <si>
    <t>Der Markt schrumpft eher.</t>
  </si>
  <si>
    <t>Der Markt ist gleichbleibend.</t>
  </si>
  <si>
    <t>Es existiert ein wachsender Markt.</t>
  </si>
  <si>
    <t>Hier soll abgeschätzt werden, wie sich die Nachfrage für die Hardware in nächster Zeit entwickelt.</t>
  </si>
  <si>
    <t>Gibt es Abnehmer für die Hardware?</t>
  </si>
  <si>
    <t>Es gibt Abnehmer für die Hardware.</t>
  </si>
  <si>
    <t>Zur Zeit keine.</t>
  </si>
  <si>
    <t>Es gibt Interessenten.</t>
  </si>
  <si>
    <t>Es gibt Abnehmer.</t>
  </si>
  <si>
    <t>Gibt es Interessensbekundungen oder Zusagen von Abnehmern (idealerweise schriftliche Zusagen/LOIs), die die Hardware erwerben oder nutzen möchten? Dies können auch Entwickler sein, die die Hardware für eine Ausgründung verwenden möchten.</t>
  </si>
  <si>
    <t>Existiert ein Vertriebsnetz für die Hardware?</t>
  </si>
  <si>
    <t>Das Vertriebsnetz ist vorhanden und zugänglich.</t>
  </si>
  <si>
    <t>Es existiert kein Vertriebsnetz.</t>
  </si>
  <si>
    <t>Das Vertriebsnetz befindet sich im Aufbau.</t>
  </si>
  <si>
    <t>Es gibt ein etabliertes Vertriebsnetz.</t>
  </si>
  <si>
    <t>Kann die Hardware bspw. über bestehende Plattformen und Marktplätze vertrieben werden?</t>
  </si>
  <si>
    <t>Gibt es bereits zahlende Kunden für die Hardware?</t>
  </si>
  <si>
    <t>Es gibt derzeit keine zahlenden Kunden.</t>
  </si>
  <si>
    <t>Es gibt bereits Kundeninteresse.</t>
  </si>
  <si>
    <t>Es gibt bereits mindestens einen zahlenden Kunden.</t>
  </si>
  <si>
    <t>Ob es bereits zahlende Kunden gibt, ist entscheidend dafür, ob die Entwicklung der Hardware an den Bedürfnissen des Marktes durchgeführt wurde bzw. ob tatsächlich ein vorhandener Markt befriedigt werden kann. Erste Kunden erleichtern den Aufbau einer Ausgründung erheblich.</t>
  </si>
  <si>
    <t>g</t>
  </si>
  <si>
    <r>
      <t xml:space="preserve">Wurde die Hardware nahe </t>
    </r>
    <r>
      <rPr>
        <i/>
        <sz val="11"/>
        <color theme="1"/>
        <rFont val="Calibri"/>
        <family val="2"/>
        <scheme val="minor"/>
      </rPr>
      <t>am</t>
    </r>
    <r>
      <rPr>
        <sz val="11"/>
        <color theme="1"/>
        <rFont val="Calibri"/>
        <family val="2"/>
        <scheme val="minor"/>
      </rPr>
      <t xml:space="preserve"> bzw. </t>
    </r>
    <r>
      <rPr>
        <i/>
        <sz val="11"/>
        <color theme="1"/>
        <rFont val="Calibri"/>
        <family val="2"/>
        <scheme val="minor"/>
      </rPr>
      <t>mit</t>
    </r>
    <r>
      <rPr>
        <sz val="11"/>
        <color theme="1"/>
        <rFont val="Calibri"/>
        <family val="2"/>
        <scheme val="minor"/>
      </rPr>
      <t xml:space="preserve"> potenziellen Kunden entwickelt? (user-centric approach)</t>
    </r>
  </si>
  <si>
    <t>Die Hardware wurde ausschließlich am Institut entwickelt.</t>
  </si>
  <si>
    <t>Die Hardware soll gemeinsam mit (potenziellen) Kunden entwickelt werden.</t>
  </si>
  <si>
    <t>Die Hardware wurde bereits im Entstehungsprozess mit (potenziellen) Kunden entwickelt.</t>
  </si>
  <si>
    <t>Die Einbindung potenzieller Kunden ist entscheidend, um Hardware nicht am Markt „vorbeizuentwickeln“. Es gibt verschiedene Stufen, um kundenzentriert zu entwickeln. Hierzu gehören u.a. verschiedene Pilotprojekte, durch die Entwickler Feedback bei der Entwicklung der Hardware erhalten. Die nutzerzentrierte Entwicklung steigert zudem die Attraktivität der Hardware bzw. der Ausgründung bei potenziellen Investoren.</t>
  </si>
  <si>
    <t>Erfolgsfaktoren</t>
  </si>
  <si>
    <t>Bietet die Hardware messbare Vorteile für den Kunden?</t>
  </si>
  <si>
    <t>Die Hardware bietet identifizierbare und quantifizierbare Vorteile für Kunden.</t>
  </si>
  <si>
    <t>Die Hardware unterscheidet sich kaum von Konkurrenzprodukten.</t>
  </si>
  <si>
    <t>Die Hardware bietet kleinere Vorteile für den Nutzer.</t>
  </si>
  <si>
    <t>Die Hardware bietet erhebliche Vorteile für den Nutzer.</t>
  </si>
  <si>
    <r>
      <t>Vorteile könnten bspw. eine bessere Bedienbarkeit, eine effizientere Arbeitsweise, neuartige Funktionen oder</t>
    </r>
    <r>
      <rPr>
        <sz val="11"/>
        <color rgb="FFFF0000"/>
        <rFont val="Calibri"/>
        <family val="2"/>
        <scheme val="minor"/>
      </rPr>
      <t xml:space="preserve"> Kosten</t>
    </r>
    <r>
      <rPr>
        <sz val="11"/>
        <color theme="1"/>
        <rFont val="Calibri"/>
        <family val="2"/>
        <scheme val="minor"/>
      </rPr>
      <t xml:space="preserve"> sein.</t>
    </r>
  </si>
  <si>
    <t>Handelt es sich bei der Hardware um eine Kerntechnologie, auf die andere Produkte aufgebaut werden können?</t>
  </si>
  <si>
    <t>Bei der Technologie handelt es sich um eine Kern- oder Plattformtechnologie, die von anderen für weitere, darauf aufbauende Produkte genutzt werden kann.</t>
  </si>
  <si>
    <t>Die Hardware ist in sich geschlossen.</t>
  </si>
  <si>
    <t>Andere können die Hardware erweitern und modifizieren.</t>
  </si>
  <si>
    <t>Andere können eigene Hardware basierend auf der Kerntechnologie entwickeln.</t>
  </si>
  <si>
    <t>Können andere Entwickler weitere Produkte basierend auf der Kernhardware entwickeln, dann bietet dies die Möglichkeit einer kommerziellen Nutzung (z.B. Lizenzierung).</t>
  </si>
  <si>
    <t>Sind keine vergleichbaren Produkte auf dem Markt?</t>
  </si>
  <si>
    <t>Es gibt keine vergleichbaren Produkte auf dem Markt.</t>
  </si>
  <si>
    <t>Es sind bereits vergleichbare Produkte auf dem Markt.</t>
  </si>
  <si>
    <t>Vergleichbare Produkte befinden sich in der Entwicklung.</t>
  </si>
  <si>
    <t>Vergleichbare Produkte sind weder auf dem Markt noch werden diese nach aktuellem Stand entwickelt.</t>
  </si>
  <si>
    <t>Vergleichbare Produkte sind solche, mit denen die gleichen Aufgaben gelöst werden können und mit denen man auf dem Markt in Konkurrenz tritt.</t>
  </si>
  <si>
    <t>Ist die Hardware durch Aufwand nicht replizierbar?</t>
  </si>
  <si>
    <t>Die Hardware ist durch Aufwand nicht replizierbar.</t>
  </si>
  <si>
    <t>Die Hardware ist replizierbar.</t>
  </si>
  <si>
    <t>Die Hardware ist mit einigem Aufwand replizierbar.</t>
  </si>
  <si>
    <t>Die Hardware ist nicht replizierbar.</t>
  </si>
  <si>
    <t>Wie groß wäre der Aufwand, um vergleichbare Hardware herzustellen? Der Aufwand kann sich auf benötigte Ressourcen (Zeit, Geld, spezielle Technologien, Daten) aber auch Know-how (Entwicklung, Forschung) beziehen.</t>
  </si>
  <si>
    <t>Lässt sich die Hardware schnell auf den Markt bringen?</t>
  </si>
  <si>
    <t>Es wird nicht lange dauern bis die Hardware auf dem Markt ist.</t>
  </si>
  <si>
    <t>Ein schneller Markteintritt ist unmöglich.</t>
  </si>
  <si>
    <t>Ein schneller Markteintritt ist nach Einsatz weiterer Ressourcen möglich.</t>
  </si>
  <si>
    <t>Die Hardware lässt sich schnell auf den Markt bringen.</t>
  </si>
  <si>
    <t>Wie lange dauert es, um die Hardware zur Marktreife zu bringen? Ausgegangen wird dabei von dem Umstand, dass die zur Verfügung stehenden Ressourcen unverändert bleiben. Schnell bedeutet hierbei maximal 1 Jahr.</t>
  </si>
  <si>
    <t>Kann die Hardware als Dienstleistung oder ähnliches verwertet werden?</t>
  </si>
  <si>
    <t>Die Hardware kann als Dienstleistung oder ähnliches verwertet werden.</t>
  </si>
  <si>
    <t>Die Hardware eignet sich ausschließlich als Standalone-Lösung.</t>
  </si>
  <si>
    <t>Die Hardware bedient einen weiteren Teilbereich.</t>
  </si>
  <si>
    <t>Die Hardware besitzt ein breites Anwendungsspektrum.</t>
  </si>
  <si>
    <t>Kann der Markt für die Hardware durch deren Implementierung in andere Systeme / durch Beratung / als Hardware-as-a-Service (HaaS) (bspw. Vermietung) usw. erweitert werden?</t>
  </si>
  <si>
    <t>Kann mit der Verwertung der Hardware Gewinn erzielt werden?</t>
  </si>
  <si>
    <t>Mit der Verwertung der Hardware kann ein Gewinn erzielt werden.</t>
  </si>
  <si>
    <t>Es wird ein Verlust erwartet.</t>
  </si>
  <si>
    <t>Die Verwertung wäre kostenneutral.</t>
  </si>
  <si>
    <t>Ein Gewinn wird erwartet.</t>
  </si>
  <si>
    <t>Mit Gewinn ist ein positiver „return of investment“ gemeint.</t>
  </si>
  <si>
    <t>Zustand der Hardware</t>
  </si>
  <si>
    <t>Ist die Hardware eine neuartige Erfindung?</t>
  </si>
  <si>
    <t>Es handelt sich bei der Hardware um eine neue, nicht offensichtliche Erfindung.</t>
  </si>
  <si>
    <t>Die Hardware existiert bereits in anderweitiger Form.</t>
  </si>
  <si>
    <t>Die Hardware besitzt teilweise neue Funktionen.</t>
  </si>
  <si>
    <t>Die Hardware oder Teile davon ist/sind eine neuartige Entwicklung.</t>
  </si>
  <si>
    <t>Hier wird abgefragt, wie neuartig und einzigartig eine Hardware ist: Existiert bereits vergleichbare Hardware oder ist sie eine neuartige Lösung für ein bestehendes Problem. Bei NEUHEIT geht es sowohl um Hardware aus der eigenen Einrichtung, als auch um Hardware, die von Dritten entwickelt wurde.)</t>
  </si>
  <si>
    <t>Ist die Hardware in Verwendung?</t>
  </si>
  <si>
    <t>Die Hardware wird verwendet.</t>
  </si>
  <si>
    <t>Es existiert maximal ein Proof of Concept (bis TRL 3).</t>
  </si>
  <si>
    <t>Es existiert bereits ein Labor- oder Funktionsmus-ter/Prototyp (TRL 4-6).</t>
  </si>
  <si>
    <t>Die Hardware ist bereits im realen Einsatz (ab TRL 7).</t>
  </si>
  <si>
    <t>Die Einteilung orientiert sich am Technology Readiness-Level (TRL). Ist die Hardware bereits im Einsatz (TRL7), dann kann die Frage mit „Ja“ beantwortet werden. Handelt es sich dagegen um ein Labor- oder Funkti-onsmuster/Prototypen in relevanter Einsatzumgebung, (TRL 4-6) kann die mittlere Antwort gewählt werden. Besteht bisher nur ein Proof of Con-cept (bis TRL 3), dann ist die Frage zu verneinen.</t>
  </si>
  <si>
    <t>Ist eine verwertbare Entwicklung der Hardware machbar?</t>
  </si>
  <si>
    <t>Die verwertbare Entwicklung der Hardware ist machbar.</t>
  </si>
  <si>
    <t>Die Wahrscheinlichkeit für einen Abbruch der Entwicklung und damit Verwertung ist hoch.</t>
  </si>
  <si>
    <t>Es besteht die Möglichkeit, dass die Entwicklung abgebrochen wird. Das Risiko hierfür ist jedoch gering.</t>
  </si>
  <si>
    <t>Ein Abschluss der Entwicklung und damit einer erfolgreichen Verwertung ist sehr wahrscheinlich.</t>
  </si>
  <si>
    <t>Für die Verwertung der Hardware sollte diese soweit wie möglich fertiggestellt sein. Verschiedene Risiken können jedoch dafür sorgen, dass es zu einem Abbruch der Entwicklung und der Verwertung kommt. Schätzen sie ein, ob die Hardware zu einem fertigen Produkt entwickelt werden kann.</t>
  </si>
  <si>
    <t>Ist die Hardware ausreichend dokumentiert?</t>
  </si>
  <si>
    <t>Die Hardware ist ausreichend dokumentiert.</t>
  </si>
  <si>
    <t>Die Hardware ist vollständig undokumentiert.</t>
  </si>
  <si>
    <t>Die Dokumentation ist noch unzureichend.</t>
  </si>
  <si>
    <t>Die Dokumentation ist vollständig.</t>
  </si>
  <si>
    <t>Eine ordentliche Dokumentation der Teileliste, des Aufbaus usw. ist essenziell dafür, dass man die Hardware auch in Zukunft  noch warten und weiterentwickeln kann.</t>
  </si>
  <si>
    <t>Sind die Lizenzen der Hardwarekomponenten untereinander kompatibel?</t>
  </si>
  <si>
    <t>Die Lizenzen der Hardwarekomponenten sind nicht kompatibel.</t>
  </si>
  <si>
    <t>Die Kompatibilität der Lizenzen ist nur teilweise gegeben oder noch nicht abschließend geprüft.</t>
  </si>
  <si>
    <t>Die Lizenzen der Hardwarekomponenten sind miteinander kompatibel.</t>
  </si>
  <si>
    <t>Hier wird geprüft, ob sich die für die einzelnen Komponenten verwendeten Hardwarelizenzen miteinander vereinbaren lassen. Lizenzinkompatibilitäten können die Weitergabe, Kombination, Herstellung, Veränderung oder kommerzielle Verwertung der Hardware einschränken und müssen vor einer Verwertung geklärt werden.</t>
  </si>
  <si>
    <t>Wurde eine FTO-Analyse (Freedom-to-operate) für die Hardware durchgeführt?</t>
  </si>
  <si>
    <t>Die durchgeführte FTO-Analyse zeigt keine Risiken bzgl. Schutzrechten Dritter.</t>
  </si>
  <si>
    <t>Es wurde keine FTO-Analyse durchgeführt und es bestehen mögliche Schutzrechtsrisiken.</t>
  </si>
  <si>
    <t>Eine FTO-Analyse wurde noch nicht abgeschlossen oder nur teilweise durchgeführt; bestehende Risiken müssen noch geklärt werden.</t>
  </si>
  <si>
    <t>Eine FTO-Analyse wurde durchgeführt und es wurden keine relevanten Schutzrechtsverletzungen festgestellt.</t>
  </si>
  <si>
    <t>Eine FTO-Analyse prüft, ob durch Entwicklung, Herstellung, Nutzung oder Verwertung der Hardware Schutzrechte Dritter, insbesondere Patente, Gebrauchsmuster oder andere gewerbliche Schutzrechte, verletzt werden könnten. Die Analyse dient dazu, rechtliche Risiken einer Verwertung frühzeitig zu erkennen und gegebenenfalls durch Anpassungen, Lizenzen oder andere Maßnahmen zu minimieren.</t>
  </si>
  <si>
    <t>Verfügbarkeit externer Ressourcen</t>
  </si>
  <si>
    <t>kurz</t>
  </si>
  <si>
    <t>Können alle externen Komponenten für die Verwendung der Hardware eingesetzt werden?</t>
  </si>
  <si>
    <t>Notwendige externe Komponenten sind vorhanden und können rechtlich wie gewünscht verwendet werden.</t>
  </si>
  <si>
    <t>Es gibt Probleme bei der Verwendung externer Komponenten.</t>
  </si>
  <si>
    <t>Bestehende Probleme können geklärt werden.</t>
  </si>
  <si>
    <t>Die Verwendung externer Komponenten ist geklärt.</t>
  </si>
  <si>
    <t>Hier wird abgefragt, ob alle externen Komponenten schon beschafft und die Rechte (z.B. Nutzungsrechte) und Abhängigkeiten (z.B. Copyleft) für die weitere Verwendung geklärt sind.</t>
  </si>
  <si>
    <t>Sind alle externen Komponenten vorhanden?</t>
  </si>
  <si>
    <t>Alle externen Komponenten sind vorhanden.</t>
  </si>
  <si>
    <t>Es gibt Probleme bei der Beschaffung der Komponenten.</t>
  </si>
  <si>
    <t>Alle Komponenten sind vor-handen.</t>
  </si>
  <si>
    <t>Hier wird abgefragt, ob alle externen Komponenten verfügbar sind und ob bestehende Probleme bei der Beschaffung ausgeräumt werden können.</t>
  </si>
  <si>
    <t>Sind die Rechte für die Nutzung externer Komponenten geklärt?</t>
  </si>
  <si>
    <t>Alle vorhandenen externen Komponenten können rechtlich wie erwünscht genutzt werden.</t>
  </si>
  <si>
    <t>Es gibt Probleme bei den Rechten.</t>
  </si>
  <si>
    <t>Alle Rechtsfragen zur Nutzung externer Komponenten sind geklärt.</t>
  </si>
  <si>
    <t>Für die Verwertung der Hardware mit externen Komponenten müssen ggfs. rechtliche Fragen geklärt werden (z.B. Abhängigkeiten zu Copyleft-Lizenzen, Nutzungsrechte etc.), weshalb hier eingeschätzt werden soll, ob es bei der vorliegenden Hardware Probleme geben könnte.</t>
  </si>
  <si>
    <t>Kann eine Veröffentlichung der Hardware ausgeschlossen werden, so dass eine Patenanmeldung möglich ist?</t>
  </si>
  <si>
    <t>Es existieren keine Veröffentlichungen oder Patente, die der Bestrebung eines (Hardware-)Patents entgegenstehen.</t>
  </si>
  <si>
    <t>Die Hardware wurde bereits der Öffentlichkeit vorgestellt.</t>
  </si>
  <si>
    <t>Es ist kein Wissen zu einer Veröffentlichung bekannt.</t>
  </si>
  <si>
    <t>Es existiert keine Veröffentlichung zur Hardware.</t>
  </si>
  <si>
    <t>Soll Hardware patentiert werden, dann wird dies durch Veröffentlichungen verhindert. Als Veröffentlichungen zählen Aufsätze, Poster, Präsentationen, Tagungen und Konferenzen.</t>
  </si>
  <si>
    <t xml:space="preserve">Besteht die Hardware aus verschiedenen Komponenten, die jeweils separat verwertet werden können? </t>
  </si>
  <si>
    <t>Es existieren Einzelkomponenten, die separat verwertet werden können.</t>
  </si>
  <si>
    <t>Die Hardware besitzt keine einzeln verwertbaren Komponenten.</t>
  </si>
  <si>
    <t>Ob einzelne Komponenten verwertbar sind, ist derzeit nicht sicher abschätzbar.</t>
  </si>
  <si>
    <t>Einzelne Komponenten können separat verwertet werden.</t>
  </si>
  <si>
    <t xml:space="preserve">Hier wird abgefragt, ob eine Möglichkeit der Verwertung von Einzelteilen besteht, für den Fall, dass nicht das gesamte System verwertet werden kann. Damit wäre eine Teilverwertung möglich. </t>
  </si>
  <si>
    <t xml:space="preserve">Kann die Hardware ohne Einsatz von Software betrieben werden? </t>
  </si>
  <si>
    <t>Die Hardware benötigt für den Betrieb proprietäre Software oder Software mit starker Copyleft-Lizenz.</t>
  </si>
  <si>
    <t>Die Hardware benötigt für die Nutzung den Einsatz von Software.</t>
  </si>
  <si>
    <t>Für bestimmte Komponenten/Aufgaben ist eine Software nötig.</t>
  </si>
  <si>
    <t>Die Hardware benötigt keine zusätzliche Software.</t>
  </si>
  <si>
    <t>Der Einsatz von proprietärer Software oder von Software mit starker Copyleft-Lizenz (z.B. GPL 3.0) kann zu Einschränkungen der geplanten Verwertung führen.</t>
  </si>
  <si>
    <t>Ist die Software, die für den Betrieb der Hardware benötigt wird, Open Source Software?</t>
  </si>
  <si>
    <t>Die für den Betrieb erforderliche Software ist Open Source Software.</t>
  </si>
  <si>
    <t>Die für den Betrieb erforderliche zusätzliche Software ist nicht Open Source.</t>
  </si>
  <si>
    <t>Die zusätzlich benötigte Software ist nur teilweise Open Source oder die Lizenzsituation ist noch nicht abschließend geklärt.</t>
  </si>
  <si>
    <t>Die Software ist Open Source Software.</t>
  </si>
  <si>
    <t>Hier wird abgefragt, ob die notwendige Software eine Open Source Softeware ist. 
Der Einsatz proprietärer Software kann Zusatzkosten, Abhängigkeiten von Dritten und Einschränkungen bei Offenheit, Nachnutzbarkeit und Verwertung verursachen; Open Source Software erleichtert demgegenüber in der Regel Anpassung, Weitergabe und langfristige Nutzung, sofern ihre Lizenzbedingungen mit dem Verwertungsvorhaben vereinbar sind.</t>
  </si>
  <si>
    <t>Lizensierung und Zulassung</t>
  </si>
  <si>
    <t>Handelt es sich um eine noch nicht lizenzierte Hardware?</t>
  </si>
  <si>
    <t>Die Hardware wurde noch nicht lizenziert.</t>
  </si>
  <si>
    <t>Die Hardware wurde bereits lizenziert.</t>
  </si>
  <si>
    <t>Die Lizenzierung befindet sich im Abstimmungsprozess.</t>
  </si>
  <si>
    <t>Die Hardware ist noch unlizenziert.</t>
  </si>
  <si>
    <t>Wurde die Hardware bereits (Open Source) lizenziert, dann können sich Probleme für die weitere Verwertung ergeben.</t>
  </si>
  <si>
    <t>Kann die Hardware – oder Teile von ihr – geschützt werden?</t>
  </si>
  <si>
    <t>Ein Schutz ist nicht (mehr) möglich.</t>
  </si>
  <si>
    <t>Die Schutzfähigkeit der Hardware oder einzelner Teile ist noch zu prüfen.</t>
  </si>
  <si>
    <t>Die Hardware oder einzelne Teile können geschützt werden oder ein Schutz wird bereits vorbereitet.</t>
  </si>
  <si>
    <t>Ein Schutz der Hardware, etwa durch Patente, Gebrauchsmuster, Designs oder Marken, kann für die Kommerzialisierung und insbesondere für Ausgründungen von erheblicher Bedeutung sein. Schutzrechte können die Position gegenüber Wettbewerbern stärken, Investitionen absichern und die Grundlage für Lizenzierungs- oder Exklusivmodelle bilden.</t>
  </si>
  <si>
    <t>Kann die Hardware ohne spezielle Zulassungen verwertet werden?</t>
  </si>
  <si>
    <t>Die Hardware kann ohne spezielle Zulassungen verwertet werden.</t>
  </si>
  <si>
    <t>Die Hardware erfordert spezielle Zulassungen.</t>
  </si>
  <si>
    <t>Die Hardware benötigt keine Zulassungen, muss jedoch bestimmte Standards erfüllen.</t>
  </si>
  <si>
    <t>Keine Zulassungen oder Einhaltung von Standards erforderlich.</t>
  </si>
  <si>
    <t>Für die Verwertung der Hardware sind möglicherweise bestimmte Zulassungen, Standards oder Anforderungen erforderlich. Dies können bspw. die Zulassung als Medizinprodukt (MDR), bestimmte Datenschutzverordnungen oder Industriestandards sein.</t>
  </si>
  <si>
    <t>Lässt sich die Hardware unbedenklich für Umwelt, Mensch und/oder Gesellschaft verwenden?</t>
  </si>
  <si>
    <t>Die Hardware ist für Umwelt, Mensch und/oder Gesellschaft sicher.</t>
  </si>
  <si>
    <t>Die Hardware ist schädlich.</t>
  </si>
  <si>
    <t>Die Hardware lässt sich zu schädlichen Zwecken missbrauchen.</t>
  </si>
  <si>
    <t xml:space="preserve">Die Hardware ist unbedenklich.
</t>
  </si>
  <si>
    <t>Führt die Hardware zu schädlichen Auswirkungen auf Mensch, Gesellschaft oder Umwelt, dann sollte von einer Veröffentlichung abgesehen werden. Schädliche Auswirkungen können sein: Nutzung als Waffensysteme, Aufnahme von Satellitenbildern, Sammlung und Auswertung personenbezogener Daten usw.</t>
  </si>
  <si>
    <t>Sind die Nutzungsbedingungen der Hardware für eine mögliche Ausgründung geklärt?</t>
  </si>
  <si>
    <t>Die Nutzungsbedingungen sind ungeklärt.</t>
  </si>
  <si>
    <t>Die Nutzungsbedingungen sind derzeit in Klärung.</t>
  </si>
  <si>
    <t>Die Nutzungsbedingungen sind geklärt.</t>
  </si>
  <si>
    <t>Für eine Ausgründung muss eindeutig feststehen, zu welchen Bedingungen die Hardware genutzt, weiterentwickelt, produziert, lizenziert und vermarktet werden darf. Unklare Nutzungsbedingungen führen zu rechtlichen und wirtschaftlichen Unsicherheiten und können Gründung, Finanzierung und Verwertung erheblich erschweren.</t>
  </si>
  <si>
    <t>Wird die Hardware exklusiv an eine Ausgründung lizenziert?</t>
  </si>
  <si>
    <t>Es wird keine exklusive Lizenzierung für eine Ausgründung geben.</t>
  </si>
  <si>
    <t>Die Hardware soll neben einer exklusiven Lizenzierung auch am eigenen Institut genutzt werden.</t>
  </si>
  <si>
    <t>Die Hardware wird exklusiv an eine Ausgründung lizenziert.</t>
  </si>
  <si>
    <t>Für Ausgründungen kann eine exklusive Lizenzierung wirtschaftlich bedeutsam sein, weil sie Wettbewerbsvorteile schafft und die Attraktivität für Investoren erhöht. Fehlt eine Exklusivität, kann dies die Marktposition der Ausgründung schwächen, insbesondere wenn Wettbewerber dieselbe Hardware ebenfalls verwerten können.</t>
  </si>
  <si>
    <t>Sollen bestimmte Hardwarekomponenten zukünftig offen bleiben, d.h. gibt es Hardwarekomponenten mit starker copyleft-Lizenz?</t>
  </si>
  <si>
    <t>Bestimmte Hardwarekomponenten bleiben auch zukünftig offen und stehen unter starker Copyleft-Lizenz.</t>
  </si>
  <si>
    <t>Es gibt keine Hardwarekomponenten mit starker Copyleft-Lizenz: Eine exklusive oder proprietär geprägte Verwertung bleibt möglich.</t>
  </si>
  <si>
    <t>Einzelne Komponenten stehen unter starker Copyleft-Lizenz; die Auswirkungen auf die geplante Verwertung müssen noch geprüft werden.</t>
  </si>
  <si>
    <t>Bestimmte Hardwarekomponenten sollen bewusst offen bleiben und stehen unter starker Copyleft-Lizenz.</t>
  </si>
  <si>
    <t>Hier wird geprüft, ob bestimmte Komponenten der Hardware dauerhaft offen gehalten werden sollen, etwa durch eine starke Copyleft-Lizenz. Dies kann aus Open-Source-Perspektive erwünscht sein, kann aber zugleich exklusive Lizenzierungen, proprietäre Anschlussverwertungen oder bestimmte Ausgründungsmodelle einschränken. Die Bewertung hängt daher vom gewählten Verwertungsziel ab: Für offene, gemeinschaftsbasierte Verwertung kann starkes Copyleft günstig sein; für exklusive kommerzielle Verwertung eher nachteilig.</t>
  </si>
  <si>
    <t>Motivation Team</t>
  </si>
  <si>
    <t>Ist das Entwicklerteam bereit, die Verwertung der Hardware zu unterstützen?</t>
  </si>
  <si>
    <t>Das Entwicklerteam ist bereit, stark bei der Verwertung zu unterstützen.</t>
  </si>
  <si>
    <t>Das Entwicklerteam will die Verwertung nicht unterstützen.</t>
  </si>
  <si>
    <t>Das Entwicklerteam möchte die Hardware noch fertigstellen, aber nicht verwerten.</t>
  </si>
  <si>
    <t>Das Entwicklerteam möchte bei der Verwertung mitarbeiten.</t>
  </si>
  <si>
    <t>Inwieweit sind die Entwickler: innen bereit bei der Verwertung mitzuarbeiten?  Sei es in Form einer Ausgründung oder durch Unterstützung bei Aufgaben wie Wartung, Support, Beratung usw.?</t>
  </si>
  <si>
    <t>Ist das Entwicklerteam kompromissbereit und zeigt es eine realistische Erwartung bzgl. der angestrebten Verwertung?</t>
  </si>
  <si>
    <t>Das Entwicklerteam zeigt Kompromissbereitschaft und hat realistische Erwartungen in Bezug auf eine angestrebte Verwertung.</t>
  </si>
  <si>
    <t>Die Entwickler zeigen wenig Kompromissbereitschaft.</t>
  </si>
  <si>
    <t>Das Entwicklerteam hat gegensätzliche und unrealistische Erwartungen.</t>
  </si>
  <si>
    <t>Das Entwicklerteam hat realistische Erwartungen hinsichtlich der Verwertung.</t>
  </si>
  <si>
    <t>Die Erwartungen von Entwickler: innen bzgl. der Verwertung können erheblich variieren. Sie können auf eine Open-Source-Verwertung bestehen oder großen Gewinn anstreben. Bei der Bewertung muss abgeschätzt werden, ob die Erwartungen im Entwicklerteam realistisch sind, zu Problemen führen und Kompromissbereitschaft besteht.</t>
  </si>
  <si>
    <t>Sind das Entwicklerteam oder Einzelpersonen aus dem Team daran interessiert, die Hardwarelösung in einer Ausgründung fortzuführen?</t>
  </si>
  <si>
    <t>Das Entwicklerteam oder einzelne Personen aus dem Team sind daran interessiert, die Hardwarelösung in einer Ausgründung fortzuführen?</t>
  </si>
  <si>
    <t>Niemand im Team ist an einer Ausgründung interessiert.</t>
  </si>
  <si>
    <t>Das Team würde eine Ausgründung unterstützen.</t>
  </si>
  <si>
    <t>Das Entwicklerteam arbeitet aktiv an einer Ausgründung.</t>
  </si>
  <si>
    <t>Sollte es für die Verwendung der Hardware sinnvoll sein eine Ausgründung zu planen, wie bereit sind die Entwickler hierfür?</t>
  </si>
  <si>
    <t>Autorenschaft</t>
  </si>
  <si>
    <t>Sind alle Fragen der Autorenschaft geklärt?</t>
  </si>
  <si>
    <t>Alle Fragen der Autorenschaft sind geklärt.</t>
  </si>
  <si>
    <t>Es gibt noch offene Fragen oder Streitpunkte.</t>
  </si>
  <si>
    <t>Offene Punkte lassen sich klären.</t>
  </si>
  <si>
    <t>Alle Fragen sind geklärt.</t>
  </si>
  <si>
    <t>Zu den Fragen der Autorenschaft zählen u.a.: Wer sind die involvierten Entwickler? Wie groß sind die jeweiligen Beiträge? Wurden Fragen der Vergütung usw. geklärt?</t>
  </si>
  <si>
    <t>Ist die Autorenschaft gut dokumentiert?</t>
  </si>
  <si>
    <t>Die Autorenschaft ist gut dokumentiert.</t>
  </si>
  <si>
    <t>Dokumente zur Autorenschaft und zu einzelnen Beiträgen liegen nicht vor.</t>
  </si>
  <si>
    <t>Die Autorenschaft geht aus schriftlicher Kommunikation hervor.</t>
  </si>
  <si>
    <t>Die Dokumentation ist ausreichend und verständlich.</t>
  </si>
  <si>
    <t>Geht aus der Dokumentation hervor, wer an der Entwicklung beteiligt war/ist und wie groß der jeweilige Anteil/Beitrag zur Hardware war/ist? Hierbei ist auch die Form der Dokumentation entscheidend. Existieren lediglich mündliche Absprachen, kann dies nicht mit "gut" bewertet werden. Besser wäre es, wenn zumindest aus schriftlicher Kommunikation hervorgeht, wer was gemacht hat. Eine gute Dokumentation sollte bspw. in Form eines Repository oder einer Erfindungsmeldung vorliegen.</t>
  </si>
  <si>
    <t>Projektteam</t>
  </si>
  <si>
    <t>Verfügt das Entwicklerteam über genügend Ressourcen für die Verwertung?</t>
  </si>
  <si>
    <t>Das Entwicklerteam verfügt über ausreichende Ressourcen für die weitere Verwertung?</t>
  </si>
  <si>
    <t>Es fehlen sowohl Geld als auch Zeit.</t>
  </si>
  <si>
    <t>Es fehlt entweder Geld oder Zeit.</t>
  </si>
  <si>
    <t>Es sind ausreichend Res-sourcen vorhanden.</t>
  </si>
  <si>
    <t>Ressourcen sind sowohl Zeit als auch Geld, die dem Team für die Entwicklung und Verwertung zur Verfügung stehen.</t>
  </si>
  <si>
    <t>Verfügt das Entwicklerteam über die notwendigen Kompetenzen?</t>
  </si>
  <si>
    <t>Das Entwicklerteam verfügt über die notwendigen Kompetenzen.</t>
  </si>
  <si>
    <t>Es fehlen wichtige Kompetenzen.</t>
  </si>
  <si>
    <t>Fehlende Kompetenzen können erworben werden.</t>
  </si>
  <si>
    <t>Alle nötigen Kompetenzen sind vorhanden.</t>
  </si>
  <si>
    <t>Kompetenzen können sich auf die Entwicklung der Hardware (z.B. Kenntnisse zum Aufbau und der Funktionsweise oder auch theoretisches Wissen im Fachgebiet) oder auf die Verwertung (fehlendes Know-how über Rechte, Markt etc.) beziehen.</t>
  </si>
  <si>
    <t>Ist das Entwicklerteam gut mit der Community und/oder Industrie vernetzt?</t>
  </si>
  <si>
    <t>Das Entwicklerteam ist gut in die Community und Industrie eingebunden.</t>
  </si>
  <si>
    <t>Es gibt keine Vernetzungen.</t>
  </si>
  <si>
    <t>Das Entwicklerteam ist in die Forschungscommunity oder in die Industrie integriert.</t>
  </si>
  <si>
    <t>Das Entwicklerteam ist in beide Bereiche gut integriert.</t>
  </si>
  <si>
    <t>Anerkennung/Etablierung im relevanten Gebiet, Unterstützung und Kontakte zu Industrie, ggfs. Vertriebsnetze (direkte Kontakte aus dem Bereich der Entwicklerschaft/Lehrstuhlinhaber usw.).</t>
  </si>
  <si>
    <t xml:space="preserve">Gibt es ein kompetentes Team für eine Ausgründung? </t>
  </si>
  <si>
    <t>Es sind keine Gründer vorhanden, um die Geschäftsidee umzusetzen und eine Ausgründung zu beginnen.</t>
  </si>
  <si>
    <t>Es gibt bereits Gründer, das Team muss jedoch mit weiteren Co-Foundern besetzt werden (bspw. BWLern).</t>
  </si>
  <si>
    <t>Ein kompetentes Gründerteam ist vorhanden, um die Ausgründung zu entwickeln.</t>
  </si>
  <si>
    <t>Ein vollständiges und engagiertes Gründerteam, das alle notwendigen Kompetenzen besitzt, ist von enormer Wichtigkeit für eine erfolgreiche Ausgründung.</t>
  </si>
  <si>
    <t> Bezeichnung</t>
  </si>
  <si>
    <t>Beispielszenario</t>
  </si>
  <si>
    <t>Handlungsempfehlung</t>
  </si>
  <si>
    <t>Einzelne Empfehlungen</t>
  </si>
  <si>
    <t>Prioritäten</t>
  </si>
  <si>
    <t>Superstar</t>
  </si>
  <si>
    <t>Im Durchschnitt sind alle notwendigen Dimensionen positiv bewertet.</t>
  </si>
  <si>
    <t>Die Verwertung sollte so bald wie möglich gestartet werden.</t>
  </si>
  <si>
    <t>Verwertung starten(1)</t>
  </si>
  <si>
    <t>Verwertung starten</t>
  </si>
  <si>
    <t>motivierte, strategische Entwicklung</t>
  </si>
  <si>
    <t>Kein oder unattraktiver Markt, kein Interesse außerhalb der Einrichtung an der Hardware.</t>
  </si>
  <si>
    <t>Durchführung einer Marktanlyse, um neue Märkte zu erschließen. Sollte kein weiterer Markt vorhanden sein ggfs. versuchen die Hardware an den bestehenden Markt anzupassen oder mit wenig Aufwand zu veröffentlichen.</t>
  </si>
  <si>
    <t>Marktanalyse(2)--&gt; Marktorientierung(3) oder Analyse der Hardware(4) und Weiterentwicklung zur Marktreife(5); ansonsten Minimal Effort-Verwertung(6)</t>
  </si>
  <si>
    <t>Marktanalyse</t>
  </si>
  <si>
    <t>originelles, visionäres Projekt</t>
  </si>
  <si>
    <t>Einrichtung kann (fehlende Ressourcen, Rechte) oder will Hardware nicht verwerten.</t>
  </si>
  <si>
    <t xml:space="preserve">Analysieren, warum die Einrichtung das vielversprechende Projekt nicht verwerten kann oder möchte und je nach Ergebniss die Einrichtung startklar machen oder ein unabhängiges Projekt starten (Startup). </t>
  </si>
  <si>
    <t>Analyse der Interessen und Ressourcen der Einrichtung(7) --&gt; Einrichtung startklar machen(8) oder unabhängies Projekt(9) --&gt; ggfs. Verwertung starten(1)</t>
  </si>
  <si>
    <t>Analyse der Einrichtung</t>
  </si>
  <si>
    <t>originelle Entwicklung</t>
  </si>
  <si>
    <t>Einrichtung ist nicht von der Hardware überzeugt, da es nur einen kleinen Markt gibt.</t>
  </si>
  <si>
    <t>Das Team sollte eine Marktanlyse starten. Sollte sich sich ein belastbarer Bedarf an der Technologie ergeben, kann entweder die Einrichtung startklar gemacht oder ein unabhängiges Projekt gestartet werden.</t>
  </si>
  <si>
    <t>Marktanalyse(2) vom Team, um Einrichtung startklar machen(8) oder unabhängiges Projekt(9) starten</t>
  </si>
  <si>
    <t>strategisches, visionäres Projekt</t>
  </si>
  <si>
    <t>Team fehlt es an Motivation, Kompetenz und/oder Ressourcen.</t>
  </si>
  <si>
    <t>Analysieren, woran es dem Team für die Verwertung mangelt und versuchen dieses Problem zu beheben. Im Notfall die Verwertung an ein anderes Team übergeben und auf jeden Fall die Verwertung starten.</t>
  </si>
  <si>
    <t>Analyse des Team(10)--&gt; entweder Team befähigen(11) oder externes Team suchen(12) --&gt; Verwertung starten(1)</t>
  </si>
  <si>
    <t>Analyse des Teams</t>
  </si>
  <si>
    <t>strategisches Konzept</t>
  </si>
  <si>
    <t>Einrichtung möchte vielversprechende Hardware gegen den Willen verwerten, es fehlt jedoch ein Markt.</t>
  </si>
  <si>
    <t xml:space="preserve">Die Einrichtung sollte sich den Markt und die Technologie anschauen, um zu ermitteln, ob sich eine Verwertung lohnt. Erst danach sollte versucht werden das Team zu stärken oder auszutauschen. Ohne Markt sollte eine Minimal-Effort-Verwertung in Betracht gezogen werden. Es sollte ebenfalls gefragt werden, warum die Einrichtung die Technologie ohne belastbaren Markt verwerten will. </t>
  </si>
  <si>
    <r>
      <t xml:space="preserve">Marktanalyse(2) --&gt; Marktorientierung(3) oder Analyse der Hardware(4) --&gt; Team befähigen(11) oder externes Team suchen(12) ggfs. für Weiterentwicklung zur Marktreife(5) oder Verwertung starten(1); ansonsten Minimal-Effort-Verwertung(6)
</t>
    </r>
    <r>
      <rPr>
        <b/>
        <sz val="11"/>
        <color theme="1"/>
        <rFont val="Calibri"/>
        <family val="2"/>
        <scheme val="minor"/>
      </rPr>
      <t>Feedback sammeln: Warum soll Hardware ohne Marktpotential verwertet werden?</t>
    </r>
  </si>
  <si>
    <t>visionäre Innovation</t>
  </si>
  <si>
    <t>Hardware ist technisch so gut, so dass sie gute Chancen auf dem Markt hat.</t>
  </si>
  <si>
    <r>
      <t xml:space="preserve">Um das große Potential der Technologie verwerten zu können, sollte sowohl Einrichtung als auch das Team analysiert und Hindernisse in beiden Dimensionen beseigtigt werden.
</t>
    </r>
    <r>
      <rPr>
        <b/>
        <sz val="11"/>
        <color theme="1"/>
        <rFont val="Calibri"/>
        <family val="2"/>
        <scheme val="minor"/>
      </rPr>
      <t>Sollte nur im äußersten Notfall nicht verwertet werden</t>
    </r>
  </si>
  <si>
    <r>
      <t xml:space="preserve">Einrichtung startklar machen(8) --&gt; Analyse des Teams(10)--&gt; Team befähigen(11) oder externes Team suchen(12)
</t>
    </r>
    <r>
      <rPr>
        <b/>
        <sz val="11"/>
        <color theme="1"/>
        <rFont val="Calibri"/>
        <family val="2"/>
        <scheme val="minor"/>
      </rPr>
      <t>Sollte nur im äußersten Notfall nicht verwertet werden.</t>
    </r>
  </si>
  <si>
    <t>Technologie</t>
  </si>
  <si>
    <t>Veraltete Technologie oder Technologie ohne Marktperspektive.</t>
  </si>
  <si>
    <t xml:space="preserve">Existiert bereits eine Idee für einen Markt, sollte dieser analysiert und entwickelt werden, um zu einer visionären Innovation zu kommen. Wenn es absolut keinen Markt für die Technologie gibt, sollte diese gut dokumentiert archiviert werden, um eine schnelle Verwertung zu ermöglichen, sollte sich die Nachfrage ändern. Alternativ käme auch eine Minimal-Effort-Verwertung in Frage. </t>
  </si>
  <si>
    <t>Archivieren(13) --&gt; Marktanalyse(2) ansonsten Minimal-Effort-Verwertung(6)</t>
  </si>
  <si>
    <t>profitabler, struktureller Kurs</t>
  </si>
  <si>
    <t>Förderliche Rahmenbedingungen erlauben die Investition in die Weiterentwicklung der Hardware.</t>
  </si>
  <si>
    <t xml:space="preserve">Analysieren, wo die Probleme der Technologie liegen, die der Verwertung im Wege stehen und versuchen diese zu beheben. </t>
  </si>
  <si>
    <t>Analyse der Hardware(4) --&gt;Weiterentwicklung zur Marktreife(5)--&gt; Verwertung starten(1)</t>
  </si>
  <si>
    <t>Analyse der Hardware</t>
  </si>
  <si>
    <t>strukturelles Potential</t>
  </si>
  <si>
    <t>Hardware findet in dieser Form keinen Markt.</t>
  </si>
  <si>
    <t xml:space="preserve">Um das Potential an der Einrichtung zu nutzen, den Markt analysieren, um die Technologie gezielt in Richtung Marktreife zu entwickeln. </t>
  </si>
  <si>
    <t>Marktanalyse(2) mit dem Ziel Weiterentwicklung zur Marktreife(5) oder Forschungsförderung(14); ansonsten Minimal-Effort-Verwertung(6)</t>
  </si>
  <si>
    <t>autarke Vision</t>
  </si>
  <si>
    <t>Team hat einen Markt aufgetan, die Hardware ist aber noch nicht für die Verwertung geeignet und Team muss die Einrichtung noch überzeugen.</t>
  </si>
  <si>
    <t>Analysieren, woran es der Einrichtung mangelt, um die Weiterentwicklung der gefragten Technologie hin zur Marktreife zu unterstützen und dem Team helfen, die Einrichtung von der Vision zu überzeugen.</t>
  </si>
  <si>
    <t>Einrichtung startklar machen(8) für Analyse der Hardware(4) und Weiterentwicklung zur Marktreife(5) oder unabhängiges Projekt(9)</t>
  </si>
  <si>
    <t>Motivation</t>
  </si>
  <si>
    <t>Transferinteressierte Wissenschaftler*in ohne konkretes Projekt.</t>
  </si>
  <si>
    <t>Das Team sollte eine Marktanlyse beginnen. Sollte sich sich ein belastbarer Bedarf an der Technologie ergeben, kann die Einrichtung startklar gemacht werden, um für die Entwicklung der Technologie ein Projekt zu starten.</t>
  </si>
  <si>
    <t>Team befähigen(11) eigenständige Marktanalyse(2) durchzuführen --&gt; Einrichtung startklar machen(8), um ein neues Projekt zu starten(16)</t>
  </si>
  <si>
    <t>neuartige Ausrichtung</t>
  </si>
  <si>
    <t>Team kann die fachliche Umsetzung von Ideen mit großem Potential nicht stemmen.</t>
  </si>
  <si>
    <t>Analysieren, woran es dem Team für die Weiterentwicklung der vom Markt gefragten Technologie mangelt und versuchen den Mangel zu beheben. Im Notfall ein neues Team aufbauen.</t>
  </si>
  <si>
    <t>Analyse des Team(10)--&gt; entweder Team befähigen(11) oder externes Team suchen(12), welches die Weiterentwicklung zur Marktreife(5) vorantreiben kann</t>
  </si>
  <si>
    <t>Strategie</t>
  </si>
  <si>
    <t>Einrichtung will Thema ohne Potential puschen.</t>
  </si>
  <si>
    <t>Identifizieren eines Teams, das für ein neues Projekt startklar gemacht werden kann.</t>
  </si>
  <si>
    <t xml:space="preserve">Einrichtung sollte entweder Team befähigen(11) oder externes Team suchen(12), um ein neues Projekt zu starten(16); maximal Forschungsförderung(10) </t>
  </si>
  <si>
    <t>Vision</t>
  </si>
  <si>
    <t>Markt in Grenzbereichen der eigenen Forschung identifiziert.</t>
  </si>
  <si>
    <t>Analysieren, ob der aufgetanen Markt zu den Zielen und Möglichkeiten der Einrichtung passt. Sollte dies der Fall sein, kann im Anschluss das Team für die Wieterentwicklung der Technologie befähigt werden.</t>
  </si>
  <si>
    <t>Analyse der Interessen und Ressourcen der Einrichtung(7) --&gt; Einrichtung startklar machen(8)  --&gt; Team befähigen(11) oder externes Team suchen(12), um ein neues Projekt zu starten(16); alternativ: Forschungsförderung(10) oder Minimal-Effort-Verwertung(6)</t>
  </si>
  <si>
    <t>Kritische Zone</t>
  </si>
  <si>
    <t>Bewertung in allen Dimensionen negativ.</t>
  </si>
  <si>
    <t>Hardware hat wenig Potential für eine Verwertung.</t>
  </si>
  <si>
    <t>Projekt fallen lassen (15)</t>
  </si>
  <si>
    <t>Projekt fallen lassen</t>
  </si>
  <si>
    <t>Empfehlung</t>
  </si>
  <si>
    <t>Die nächsten Schritte der Verwertung können und sollten gestartet werden. Dazu gehören unter anderem: offene Fragen/Probleme klären, Roadmap für Projekt erstellen, Finanzierung sicherstellen, Ressourcenplanung, Verwertungsweg wählen (siehe Entscheidungshilfen), Abbruchkriterien definieren (wann muss die Verwertung als gescheitert angesehen werden).</t>
  </si>
  <si>
    <t>Analysieren, für welche Märkte die Technologie noch interessant sein könnte oder wie die Technologie an die Bedürfnisse des Marktes anzupassen wäre.</t>
  </si>
  <si>
    <t>Marktorientierung</t>
  </si>
  <si>
    <t>Aktive Steigerung der Nachfrage nach der Hardware, beispielsweise durch:
- Erschließen neuer Märkte
- Akquise neuer Abnehmer (z.B. Inkubatoren, Pilotkunden, Alumni, die mit der Hardware gearbeitet haben)
Durch die Marktentwicklung kann es zu Verschiebungen in anderen Dimensionen kommen.</t>
  </si>
  <si>
    <t>Identifizieren von Anpassungen an der Hardware, die das Potential für eine Verwertung steigern können. Hierzu können folgende Schritte durchgeführt werden:
- Qualitätsprüfung der Hardware
- Klärung der rechtlichen Situation (z.B. Abhängigkeiten von z.B. Copyleft-Lizenzen)
- Risikoanalyse der Hardware</t>
  </si>
  <si>
    <t>Weiterentwicklung zur Marktreife</t>
  </si>
  <si>
    <t>Hardware zu einem Produkt weiterentwickeln, das den anvisierten Markt bedienen kann.</t>
  </si>
  <si>
    <t>Minimal Effort-Verwertung</t>
  </si>
  <si>
    <t>Hardware ohne großen Aufwand veröffentlichen, so wie sie aktuell ist, z.B. indem sie als Open-Source-Hardware auf ein Repository gestellt wird oder sie im aktuellen Zustand verkauft wird. Vielleicht werden dadurch mögliche Interessenten auf die Hardware aufmerksam.</t>
  </si>
  <si>
    <t>Analyse der Interessen und Ressourcen der Einrichtung</t>
  </si>
  <si>
    <t>Herausfinden, warum das Projekt nicht von der Einrichtung getragen werden kann oder will.</t>
  </si>
  <si>
    <t>Einrichtung startklar machen</t>
  </si>
  <si>
    <t>Einrichtung überzeugen mehr Ressourcen für das Projekt bereitzustellen und/oder diese bei Bedarf aus externen Quellen zu beschaffen. Dies kann beinhalten, die Einrichtung davon zu überzeugen, die Hardware an motivierte externe Personen/Einrichtungen weiter zu geben (Outsourcen, Ausgründung).</t>
  </si>
  <si>
    <t>unabhängiges Projekt</t>
  </si>
  <si>
    <t>Wenn das Projekt keine Zukunft in der Einrichtung hat, dieses entweder als Ausgründung fortführen oder komplett verkaufen. Die Einrichtung muss dafür ggfs. überzeugt werden. Dies würde auch das Risiko der Verwertung von der Einrichtung auf das neue Team verschieben.</t>
  </si>
  <si>
    <t>Analysieren, woran es dem aktuellen Entwicklerteam mangelt und was für eine erfolgreiche Verwertung fehlt. Es sollten die Kapazitäten, Kompetenzen und Motivationen des Teams ermittelt werden, um weitere Entscheidungen treffen zu können.</t>
  </si>
  <si>
    <t>Team befähigen</t>
  </si>
  <si>
    <t>Defizite beim Team beheben und dieses für die Verwertung vorbereiten. Dies kann geschehen durch:
- Schulungen, mehr Ressourcen bereitstellen, Anreize schaffen, Matching mit (transfer-) interessierten Wissenschaftlern, Matching mit bestehenden, archivierten Technologien.</t>
  </si>
  <si>
    <t>externes Team suchen</t>
  </si>
  <si>
    <t>Wenn das aktuelle Team nicht für die Verwertung bereitsteht, sollte ein externes Team gesucht werden.</t>
  </si>
  <si>
    <t>archivieren</t>
  </si>
  <si>
    <t>Hardware besitzt derzeit kein Potential für die Verwertung und sollte daher gründlich archiviert werden, um 'wiederbelebt' zu werden, wenn der Markt für die Hardware besser ist.</t>
  </si>
  <si>
    <t>Forschungsförderung</t>
  </si>
  <si>
    <t xml:space="preserve">Es kann für die Einrichtung sinnvoll sein, durch die Verwertung der Hardware einen Forschungsbereich zu fördern, obwohl es derzeit noch keinen Markt gibt. </t>
  </si>
  <si>
    <t>Die Bewertung ein letztes Mal prüfen, ob die Hardware tatsächlich so viele Defizite hinsichtlich der Verwertung hat. Wenn die Bewertung stimmt, sollte die Hardware fallen gelassen werden.</t>
  </si>
  <si>
    <t>neues Projekt starten</t>
  </si>
  <si>
    <t>Es gibt noch zu wenig für eine Verwertung, daher müsste in der Einrichtung zunächst ein Projekt zur Entwicklung der Hardware gestartet werden bis das Transferbüro in Aktion treten kann.</t>
  </si>
  <si>
    <t>Wert</t>
  </si>
  <si>
    <t>Wert (Punkte)</t>
  </si>
  <si>
    <t>Wertung</t>
  </si>
  <si>
    <t>unsicher</t>
  </si>
  <si>
    <t>ja</t>
  </si>
  <si>
    <t xml:space="preserve">Kritisch: </t>
  </si>
  <si>
    <t>dazwischen</t>
  </si>
  <si>
    <t>relativ sicher</t>
  </si>
  <si>
    <t>sehr sicher/belegbar</t>
  </si>
  <si>
    <t>keine Antwort möglich</t>
  </si>
  <si>
    <t>nicht relevant</t>
  </si>
  <si>
    <t>x</t>
  </si>
  <si>
    <t xml:space="preserve">Potentialanalyse Open Hardware © 2026 by Leibniz-IPHT is licensed under CC BY-SA 4.0. To view a copy of this license, visit https://creativecommons.org/licenses/by-sa/4.0/ </t>
  </si>
  <si>
    <t>Ist ausgeschlossen, dass die Hardware unter DualUse-Verdacht steht und ggf. Exportkontrollvorschriften auslöst?</t>
  </si>
  <si>
    <t>Der Hardware lässt sich nicht für militärische Zwecke einsetzen (DualUse) und fällt nicht unter die Exportkontrolle.</t>
  </si>
  <si>
    <t>Die Lizenzen der Hardwarekomponenten sind untereinander inkompatibel.</t>
  </si>
  <si>
    <r>
      <t>Eine Anleitung für die Verwendung der Tools findet sich in dem seperaten Dokument "Anleitung_Potentialanalyse_Hardware.pdf" und unter https://opentransfer.eu/[</t>
    </r>
    <r>
      <rPr>
        <b/>
        <sz val="11"/>
        <color rgb="FFFF0000"/>
        <rFont val="Calibri"/>
        <family val="2"/>
        <scheme val="minor"/>
      </rPr>
      <t>Hier muss noch der spezielle Link unserer Webseite rein</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</si>
</sst>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0.0"/>
  </numFmts>
  <fonts count="34" x14ac:knownFonts="1">
    <font>
      <sz val="11"/>
      <color theme="1"/>
      <name val="Calibri"/>
      <family val="2"/>
      <scheme val="minor"/>
    </font>
    <font>
      <sz val="11"/>
      <color theme="1"/>
      <name val="Calibri Light"/>
      <family val="2"/>
      <scheme val="major"/>
    </font>
    <font>
      <b/>
      <sz val="12"/>
      <name val="Calibri Light"/>
      <family val="2"/>
      <scheme val="major"/>
    </font>
    <font>
      <i/>
      <sz val="12"/>
      <color theme="1"/>
      <name val="Calibri Light"/>
      <family val="2"/>
      <scheme val="major"/>
    </font>
    <font>
      <b/>
      <sz val="12"/>
      <color theme="1"/>
      <name val="Calibri Light"/>
      <family val="2"/>
      <scheme val="major"/>
    </font>
    <font>
      <b/>
      <sz val="18"/>
      <color theme="1"/>
      <name val="Calibri Light"/>
      <family val="2"/>
      <scheme val="major"/>
    </font>
    <font>
      <b/>
      <sz val="18"/>
      <name val="Calibri Light"/>
      <family val="2"/>
      <scheme val="major"/>
    </font>
    <font>
      <i/>
      <sz val="11"/>
      <color theme="1"/>
      <name val="Calibri Light"/>
      <family val="2"/>
      <scheme val="major"/>
    </font>
    <font>
      <b/>
      <sz val="16"/>
      <color theme="1"/>
      <name val="Calibri Light"/>
      <family val="2"/>
      <scheme val="major"/>
    </font>
    <font>
      <i/>
      <sz val="18"/>
      <color theme="1"/>
      <name val="Calibri Light"/>
      <family val="2"/>
      <scheme val="major"/>
    </font>
    <font>
      <b/>
      <sz val="11"/>
      <color theme="1"/>
      <name val="Calibri Light"/>
      <family val="2"/>
      <scheme val="major"/>
    </font>
    <font>
      <b/>
      <sz val="14"/>
      <color theme="1"/>
      <name val="Calibri Light"/>
      <family val="2"/>
      <scheme val="major"/>
    </font>
    <font>
      <sz val="14"/>
      <color theme="1"/>
      <name val="Calibri Light"/>
      <family val="2"/>
      <scheme val="major"/>
    </font>
    <font>
      <b/>
      <sz val="12"/>
      <color theme="1"/>
      <name val="Calibri"/>
      <family val="2"/>
      <scheme val="minor"/>
    </font>
    <font>
      <sz val="12"/>
      <color theme="1"/>
      <name val="Calibri Light"/>
      <family val="2"/>
      <scheme val="major"/>
    </font>
    <font>
      <b/>
      <sz val="14"/>
      <name val="Calibri Light"/>
      <family val="2"/>
      <scheme val="major"/>
    </font>
    <font>
      <b/>
      <sz val="16"/>
      <name val="Calibri Light"/>
      <family val="2"/>
      <scheme val="major"/>
    </font>
    <font>
      <sz val="11"/>
      <name val="Calibri Light"/>
      <family val="2"/>
      <scheme val="major"/>
    </font>
    <font>
      <sz val="10"/>
      <color theme="1"/>
      <name val="Calibri Light"/>
      <family val="2"/>
      <scheme val="major"/>
    </font>
    <font>
      <b/>
      <i/>
      <sz val="18"/>
      <color theme="1"/>
      <name val="Calibri Light"/>
      <family val="2"/>
      <scheme val="major"/>
    </font>
    <font>
      <b/>
      <sz val="11"/>
      <color theme="1"/>
      <name val="Calibri"/>
      <family val="2"/>
      <scheme val="minor"/>
    </font>
    <font>
      <b/>
      <sz val="11"/>
      <name val="Calibri Light"/>
      <family val="2"/>
      <scheme val="major"/>
    </font>
    <font>
      <b/>
      <i/>
      <sz val="20"/>
      <color theme="1"/>
      <name val="Calibri Light"/>
      <family val="2"/>
      <scheme val="major"/>
    </font>
    <font>
      <sz val="11"/>
      <color theme="1"/>
      <name val="Calibri"/>
      <family val="2"/>
      <scheme val="minor"/>
    </font>
    <font>
      <sz val="8"/>
      <name val="Calibri"/>
      <family val="2"/>
      <scheme val="minor"/>
    </font>
    <font>
      <sz val="11"/>
      <color rgb="FFC00000"/>
      <name val="Calibri"/>
      <family val="2"/>
      <scheme val="minor"/>
    </font>
    <font>
      <sz val="11"/>
      <name val="Calibri"/>
      <family val="2"/>
      <scheme val="minor"/>
    </font>
    <font>
      <i/>
      <sz val="14"/>
      <color theme="1"/>
      <name val="Calibri Light"/>
      <family val="2"/>
      <scheme val="major"/>
    </font>
    <font>
      <b/>
      <sz val="22"/>
      <color theme="1"/>
      <name val="Calibri Light"/>
      <family val="2"/>
      <scheme val="major"/>
    </font>
    <font>
      <sz val="22"/>
      <color theme="1"/>
      <name val="Calibri Light"/>
      <family val="2"/>
      <scheme val="major"/>
    </font>
    <font>
      <i/>
      <sz val="11"/>
      <color theme="1"/>
      <name val="Calibri"/>
      <family val="2"/>
      <scheme val="minor"/>
    </font>
    <font>
      <sz val="11"/>
      <color rgb="FFFF0000"/>
      <name val="Calibri"/>
      <family val="2"/>
      <scheme val="minor"/>
    </font>
    <font>
      <b/>
      <sz val="11"/>
      <color rgb="FFFF0000"/>
      <name val="Calibri"/>
      <family val="2"/>
      <scheme val="minor"/>
    </font>
    <font>
      <sz val="11"/>
      <name val="Calibri"/>
      <family val="2"/>
    </font>
  </fonts>
  <fills count="35">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E6E9F1"/>
        <bgColor indexed="64"/>
      </patternFill>
    </fill>
    <fill>
      <patternFill patternType="solid">
        <fgColor rgb="FFF3E8E7"/>
        <bgColor indexed="64"/>
      </patternFill>
    </fill>
    <fill>
      <patternFill patternType="solid">
        <fgColor rgb="FFF2F3E7"/>
        <bgColor indexed="64"/>
      </patternFill>
    </fill>
    <fill>
      <patternFill patternType="solid">
        <fgColor rgb="FFE7F3EC"/>
        <bgColor indexed="64"/>
      </patternFill>
    </fill>
    <fill>
      <patternFill patternType="solid">
        <fgColor theme="6" tint="0.79998168889431442"/>
        <bgColor theme="4" tint="0.79998168889431442"/>
      </patternFill>
    </fill>
    <fill>
      <patternFill patternType="solid">
        <fgColor rgb="FF90ABD3"/>
        <bgColor theme="4" tint="0.79998168889431442"/>
      </patternFill>
    </fill>
    <fill>
      <patternFill patternType="solid">
        <fgColor rgb="FFFADADA"/>
        <bgColor theme="4" tint="0.79998168889431442"/>
      </patternFill>
    </fill>
    <fill>
      <patternFill patternType="solid">
        <fgColor rgb="FFFDE7BD"/>
        <bgColor theme="4" tint="0.79998168889431442"/>
      </patternFill>
    </fill>
    <fill>
      <patternFill patternType="solid">
        <fgColor rgb="FFC0DFCD"/>
        <bgColor theme="4" tint="0.79998168889431442"/>
      </patternFill>
    </fill>
    <fill>
      <patternFill patternType="solid">
        <fgColor rgb="FFB6ABD6"/>
        <bgColor theme="4" tint="0.79998168889431442"/>
      </patternFill>
    </fill>
    <fill>
      <patternFill patternType="solid">
        <fgColor rgb="FF90ABD3"/>
        <bgColor indexed="64"/>
      </patternFill>
    </fill>
    <fill>
      <patternFill patternType="solid">
        <fgColor rgb="FF6285BB"/>
        <bgColor indexed="64"/>
      </patternFill>
    </fill>
    <fill>
      <patternFill patternType="solid">
        <fgColor rgb="FF6285BB"/>
        <bgColor theme="4" tint="0.79998168889431442"/>
      </patternFill>
    </fill>
    <fill>
      <patternFill patternType="solid">
        <fgColor rgb="FFEB5C3F"/>
        <bgColor indexed="64"/>
      </patternFill>
    </fill>
    <fill>
      <patternFill patternType="solid">
        <fgColor rgb="FFEB5C3F"/>
        <bgColor theme="4" tint="0.79998168889431442"/>
      </patternFill>
    </fill>
    <fill>
      <patternFill patternType="solid">
        <fgColor rgb="FFFADADA"/>
        <bgColor indexed="64"/>
      </patternFill>
    </fill>
    <fill>
      <patternFill patternType="solid">
        <fgColor rgb="FF42976A"/>
        <bgColor indexed="64"/>
      </patternFill>
    </fill>
    <fill>
      <patternFill patternType="solid">
        <fgColor rgb="FF42976A"/>
        <bgColor theme="4" tint="0.79998168889431442"/>
      </patternFill>
    </fill>
    <fill>
      <patternFill patternType="solid">
        <fgColor rgb="FFC0DFCD"/>
        <bgColor indexed="64"/>
      </patternFill>
    </fill>
    <fill>
      <patternFill patternType="solid">
        <fgColor rgb="FFF7A600"/>
        <bgColor indexed="64"/>
      </patternFill>
    </fill>
    <fill>
      <patternFill patternType="solid">
        <fgColor rgb="FFF7A600"/>
        <bgColor theme="4" tint="0.79998168889431442"/>
      </patternFill>
    </fill>
    <fill>
      <patternFill patternType="solid">
        <fgColor rgb="FFFDE7BD"/>
        <bgColor indexed="64"/>
      </patternFill>
    </fill>
  </fills>
  <borders count="6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thin">
        <color auto="1"/>
      </left>
      <right/>
      <top style="thin">
        <color auto="1"/>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style="thin">
        <color auto="1"/>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bottom/>
      <diagonal/>
    </border>
    <border>
      <left style="medium">
        <color indexed="64"/>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medium">
        <color indexed="64"/>
      </top>
      <bottom style="medium">
        <color indexed="64"/>
      </bottom>
      <diagonal/>
    </border>
    <border>
      <left style="medium">
        <color auto="1"/>
      </left>
      <right style="medium">
        <color auto="1"/>
      </right>
      <top/>
      <bottom/>
      <diagonal/>
    </border>
    <border>
      <left/>
      <right style="thin">
        <color auto="1"/>
      </right>
      <top style="medium">
        <color indexed="64"/>
      </top>
      <bottom style="medium">
        <color indexed="64"/>
      </bottom>
      <diagonal/>
    </border>
    <border>
      <left/>
      <right style="thin">
        <color auto="1"/>
      </right>
      <top/>
      <bottom/>
      <diagonal/>
    </border>
    <border>
      <left style="medium">
        <color indexed="64"/>
      </left>
      <right/>
      <top style="thin">
        <color indexed="64"/>
      </top>
      <bottom style="thin">
        <color indexed="64"/>
      </bottom>
      <diagonal/>
    </border>
    <border>
      <left style="thin">
        <color auto="1"/>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auto="1"/>
      </left>
      <right/>
      <top style="thin">
        <color auto="1"/>
      </top>
      <bottom style="medium">
        <color auto="1"/>
      </bottom>
      <diagonal/>
    </border>
    <border>
      <left/>
      <right/>
      <top/>
      <bottom style="medium">
        <color theme="1"/>
      </bottom>
      <diagonal/>
    </border>
    <border>
      <left style="medium">
        <color indexed="64"/>
      </left>
      <right style="medium">
        <color indexed="64"/>
      </right>
      <top style="thin">
        <color indexed="64"/>
      </top>
      <bottom style="medium">
        <color theme="1"/>
      </bottom>
      <diagonal/>
    </border>
    <border>
      <left/>
      <right style="slantDashDot">
        <color theme="1"/>
      </right>
      <top/>
      <bottom/>
      <diagonal/>
    </border>
    <border>
      <left/>
      <right style="slantDashDot">
        <color theme="1"/>
      </right>
      <top/>
      <bottom style="thin">
        <color indexed="64"/>
      </bottom>
      <diagonal/>
    </border>
    <border>
      <left/>
      <right style="slantDashDot">
        <color theme="1"/>
      </right>
      <top style="thin">
        <color auto="1"/>
      </top>
      <bottom style="medium">
        <color indexed="64"/>
      </bottom>
      <diagonal/>
    </border>
    <border>
      <left/>
      <right style="slantDashDot">
        <color theme="1"/>
      </right>
      <top style="medium">
        <color indexed="64"/>
      </top>
      <bottom/>
      <diagonal/>
    </border>
    <border>
      <left style="medium">
        <color auto="1"/>
      </left>
      <right style="slantDashDot">
        <color theme="1"/>
      </right>
      <top/>
      <bottom/>
      <diagonal/>
    </border>
    <border>
      <left style="medium">
        <color auto="1"/>
      </left>
      <right style="slantDashDot">
        <color theme="1"/>
      </right>
      <top/>
      <bottom style="medium">
        <color auto="1"/>
      </bottom>
      <diagonal/>
    </border>
    <border>
      <left/>
      <right style="slantDashDot">
        <color theme="1"/>
      </right>
      <top/>
      <bottom style="medium">
        <color theme="1"/>
      </bottom>
      <diagonal/>
    </border>
    <border>
      <left/>
      <right/>
      <top/>
      <bottom style="thin">
        <color indexed="64"/>
      </bottom>
      <diagonal/>
    </border>
    <border>
      <left/>
      <right style="dotted">
        <color indexed="64"/>
      </right>
      <top/>
      <bottom style="medium">
        <color indexed="64"/>
      </bottom>
      <diagonal/>
    </border>
    <border>
      <left/>
      <right/>
      <top style="medium">
        <color indexed="64"/>
      </top>
      <bottom style="thin">
        <color auto="1"/>
      </bottom>
      <diagonal/>
    </border>
    <border>
      <left/>
      <right style="slantDashDot">
        <color theme="1"/>
      </right>
      <top/>
      <bottom style="dashed">
        <color indexed="64"/>
      </bottom>
      <diagonal/>
    </border>
    <border>
      <left/>
      <right/>
      <top/>
      <bottom style="dashed">
        <color indexed="64"/>
      </bottom>
      <diagonal/>
    </border>
    <border>
      <left style="thin">
        <color indexed="64"/>
      </left>
      <right/>
      <top/>
      <bottom/>
      <diagonal/>
    </border>
    <border>
      <left style="thin">
        <color indexed="64"/>
      </left>
      <right/>
      <top/>
      <bottom style="medium">
        <color theme="1"/>
      </bottom>
      <diagonal/>
    </border>
    <border>
      <left style="medium">
        <color auto="1"/>
      </left>
      <right style="medium">
        <color auto="1"/>
      </right>
      <top style="medium">
        <color theme="1"/>
      </top>
      <bottom/>
      <diagonal/>
    </border>
  </borders>
  <cellStyleXfs count="3">
    <xf numFmtId="0" fontId="0" fillId="0" borderId="0"/>
    <xf numFmtId="9" fontId="23" fillId="0" borderId="0" applyFont="0" applyFill="0" applyBorder="0" applyAlignment="0" applyProtection="0"/>
    <xf numFmtId="164" fontId="23" fillId="0" borderId="0" applyFont="0" applyFill="0" applyBorder="0" applyAlignment="0" applyProtection="0"/>
  </cellStyleXfs>
  <cellXfs count="244">
    <xf numFmtId="0" fontId="0" fillId="0" borderId="0" xfId="0"/>
    <xf numFmtId="0" fontId="1" fillId="0" borderId="0" xfId="0" applyFont="1"/>
    <xf numFmtId="0" fontId="1" fillId="0" borderId="0" xfId="0" applyFont="1" applyAlignment="1">
      <alignment wrapText="1"/>
    </xf>
    <xf numFmtId="0" fontId="2" fillId="2" borderId="3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0" fillId="4" borderId="23" xfId="0" applyFill="1" applyBorder="1" applyAlignment="1">
      <alignment vertical="center" wrapText="1"/>
    </xf>
    <xf numFmtId="0" fontId="0" fillId="4" borderId="24" xfId="0" applyFill="1" applyBorder="1" applyAlignment="1">
      <alignment vertical="center" wrapText="1"/>
    </xf>
    <xf numFmtId="0" fontId="0" fillId="4" borderId="1" xfId="0" applyFill="1" applyBorder="1" applyAlignment="1">
      <alignment vertical="center" wrapText="1"/>
    </xf>
    <xf numFmtId="0" fontId="0" fillId="4" borderId="9" xfId="0" applyFill="1" applyBorder="1" applyAlignment="1">
      <alignment vertical="center" wrapText="1"/>
    </xf>
    <xf numFmtId="0" fontId="0" fillId="4" borderId="15" xfId="0" applyFill="1" applyBorder="1" applyAlignment="1">
      <alignment vertical="center" wrapText="1"/>
    </xf>
    <xf numFmtId="0" fontId="0" fillId="4" borderId="32" xfId="0" applyFill="1" applyBorder="1" applyAlignment="1">
      <alignment vertical="center" wrapText="1"/>
    </xf>
    <xf numFmtId="0" fontId="0" fillId="4" borderId="19" xfId="0" applyFill="1" applyBorder="1" applyAlignment="1">
      <alignment vertical="center" wrapText="1"/>
    </xf>
    <xf numFmtId="0" fontId="0" fillId="4" borderId="34" xfId="0" applyFill="1" applyBorder="1" applyAlignment="1">
      <alignment vertical="center" wrapText="1"/>
    </xf>
    <xf numFmtId="0" fontId="0" fillId="4" borderId="35" xfId="0" applyFill="1" applyBorder="1" applyAlignment="1">
      <alignment vertical="center" wrapText="1"/>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2" fillId="2" borderId="40"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41" xfId="0" applyBorder="1" applyAlignment="1">
      <alignment horizontal="center" vertical="center" wrapText="1"/>
    </xf>
    <xf numFmtId="0" fontId="17" fillId="0" borderId="0" xfId="0" applyFont="1"/>
    <xf numFmtId="0" fontId="14" fillId="0" borderId="0" xfId="0" applyFont="1" applyAlignment="1">
      <alignment horizontal="center" vertical="center" wrapText="1"/>
    </xf>
    <xf numFmtId="0" fontId="0" fillId="0" borderId="0" xfId="0" applyAlignment="1">
      <alignment wrapText="1"/>
    </xf>
    <xf numFmtId="0" fontId="3" fillId="0" borderId="4"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vertic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left" vertical="center" wrapText="1"/>
    </xf>
    <xf numFmtId="0" fontId="11" fillId="0" borderId="20" xfId="0" applyFont="1" applyBorder="1" applyAlignment="1">
      <alignment vertical="center" wrapText="1"/>
    </xf>
    <xf numFmtId="9" fontId="0" fillId="0" borderId="0" xfId="0" applyNumberFormat="1" applyAlignment="1">
      <alignment horizont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right"/>
    </xf>
    <xf numFmtId="0" fontId="0" fillId="0" borderId="0" xfId="0" applyAlignment="1">
      <alignment horizontal="center" vertical="center" textRotation="90" wrapText="1"/>
    </xf>
    <xf numFmtId="9" fontId="0" fillId="0" borderId="0" xfId="1" applyFont="1"/>
    <xf numFmtId="0" fontId="0" fillId="0" borderId="0" xfId="0" applyAlignment="1">
      <alignment horizontal="left"/>
    </xf>
    <xf numFmtId="0" fontId="2" fillId="2" borderId="0" xfId="0" applyFont="1" applyFill="1" applyAlignment="1">
      <alignment wrapText="1"/>
    </xf>
    <xf numFmtId="0" fontId="0" fillId="0" borderId="0" xfId="0" applyAlignment="1">
      <alignment vertical="top" wrapText="1"/>
    </xf>
    <xf numFmtId="0" fontId="3" fillId="0" borderId="2" xfId="0" applyFont="1" applyBorder="1" applyAlignment="1">
      <alignment horizontal="center" vertical="center" wrapText="1"/>
    </xf>
    <xf numFmtId="0" fontId="26" fillId="0" borderId="0" xfId="0" applyFont="1"/>
    <xf numFmtId="0" fontId="0" fillId="0" borderId="48" xfId="0" applyBorder="1" applyAlignment="1">
      <alignment vertical="top" wrapText="1"/>
    </xf>
    <xf numFmtId="0" fontId="0" fillId="0" borderId="48" xfId="0" applyBorder="1"/>
    <xf numFmtId="9" fontId="0" fillId="0" borderId="48" xfId="1" applyFont="1" applyBorder="1" applyAlignment="1">
      <alignment horizontal="center"/>
    </xf>
    <xf numFmtId="0" fontId="1" fillId="0" borderId="0" xfId="0" applyFont="1" applyAlignment="1">
      <alignment horizontal="left" vertical="top" wrapText="1"/>
    </xf>
    <xf numFmtId="9" fontId="17" fillId="0" borderId="0" xfId="1" applyFont="1" applyFill="1" applyBorder="1" applyAlignment="1" applyProtection="1">
      <alignment horizontal="left"/>
    </xf>
    <xf numFmtId="0" fontId="28" fillId="0" borderId="0" xfId="0" applyFont="1" applyAlignment="1">
      <alignment vertical="top"/>
    </xf>
    <xf numFmtId="0" fontId="17" fillId="0" borderId="0" xfId="0" applyFont="1" applyAlignment="1">
      <alignment wrapText="1"/>
    </xf>
    <xf numFmtId="0" fontId="5" fillId="0" borderId="0" xfId="0" applyFont="1" applyAlignment="1">
      <alignment vertical="center" wrapText="1"/>
    </xf>
    <xf numFmtId="0" fontId="27"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vertical="top" wrapText="1"/>
    </xf>
    <xf numFmtId="0" fontId="5" fillId="6" borderId="2"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10" borderId="2" xfId="0" applyFont="1" applyFill="1" applyBorder="1" applyAlignment="1">
      <alignment horizontal="left" vertical="center"/>
    </xf>
    <xf numFmtId="0" fontId="17" fillId="0" borderId="0" xfId="0" applyFont="1" applyAlignment="1">
      <alignment horizontal="left" vertical="top"/>
    </xf>
    <xf numFmtId="9" fontId="1" fillId="0" borderId="0" xfId="1" applyFont="1" applyFill="1" applyBorder="1" applyAlignment="1" applyProtection="1">
      <alignment horizontal="center"/>
    </xf>
    <xf numFmtId="9" fontId="1" fillId="9" borderId="19" xfId="1" applyFont="1" applyFill="1" applyBorder="1" applyAlignment="1" applyProtection="1">
      <alignment horizontal="center"/>
    </xf>
    <xf numFmtId="0" fontId="2" fillId="0" borderId="0" xfId="0" applyFont="1" applyAlignment="1">
      <alignment vertical="center" wrapText="1"/>
    </xf>
    <xf numFmtId="0" fontId="4" fillId="0" borderId="0" xfId="0" applyFont="1" applyAlignment="1">
      <alignment vertical="center" wrapText="1"/>
    </xf>
    <xf numFmtId="9" fontId="1" fillId="9" borderId="34" xfId="1" applyFont="1" applyFill="1" applyBorder="1" applyAlignment="1" applyProtection="1">
      <alignment horizontal="center"/>
    </xf>
    <xf numFmtId="0" fontId="17" fillId="0" borderId="0" xfId="0" applyFont="1" applyAlignment="1">
      <alignment vertical="center" wrapText="1"/>
    </xf>
    <xf numFmtId="0" fontId="1" fillId="0" borderId="0" xfId="0" applyFont="1" applyAlignment="1">
      <alignment vertical="center" wrapText="1"/>
    </xf>
    <xf numFmtId="9" fontId="1" fillId="9" borderId="35" xfId="1" applyFont="1" applyFill="1" applyBorder="1" applyAlignment="1" applyProtection="1">
      <alignment horizontal="center"/>
    </xf>
    <xf numFmtId="0" fontId="14" fillId="9" borderId="0" xfId="0" applyFont="1" applyFill="1" applyAlignment="1">
      <alignment vertical="center" wrapText="1"/>
    </xf>
    <xf numFmtId="0" fontId="14" fillId="5" borderId="7" xfId="0" applyFont="1" applyFill="1" applyBorder="1" applyAlignment="1">
      <alignment vertical="center" wrapText="1"/>
    </xf>
    <xf numFmtId="0" fontId="9" fillId="0" borderId="36" xfId="0" applyFont="1" applyBorder="1" applyAlignment="1">
      <alignment vertical="center" wrapText="1"/>
    </xf>
    <xf numFmtId="0" fontId="21" fillId="0" borderId="0" xfId="0" applyFont="1" applyAlignment="1">
      <alignment wrapText="1"/>
    </xf>
    <xf numFmtId="0" fontId="1" fillId="12" borderId="25" xfId="0" applyFont="1" applyFill="1" applyBorder="1" applyAlignment="1">
      <alignment horizontal="center" vertical="center" wrapText="1"/>
    </xf>
    <xf numFmtId="0" fontId="10" fillId="12" borderId="23" xfId="0" applyFont="1" applyFill="1" applyBorder="1" applyAlignment="1">
      <alignment horizontal="left" vertical="center" wrapText="1" indent="1"/>
    </xf>
    <xf numFmtId="0" fontId="1" fillId="12" borderId="1" xfId="0" applyFont="1" applyFill="1" applyBorder="1" applyAlignment="1">
      <alignment horizontal="left" vertical="center" wrapText="1" indent="1"/>
    </xf>
    <xf numFmtId="0" fontId="1" fillId="12" borderId="23" xfId="0" applyFont="1" applyFill="1" applyBorder="1" applyAlignment="1">
      <alignment horizontal="left" vertical="center" wrapText="1" indent="1"/>
    </xf>
    <xf numFmtId="0" fontId="1" fillId="0" borderId="0" xfId="0" applyFont="1" applyAlignment="1">
      <alignment horizontal="center" vertical="top" wrapText="1"/>
    </xf>
    <xf numFmtId="0" fontId="17" fillId="0" borderId="0" xfId="0" applyFont="1" applyAlignment="1">
      <alignment horizontal="left" vertical="top" wrapText="1"/>
    </xf>
    <xf numFmtId="0" fontId="8" fillId="0" borderId="31" xfId="0" applyFont="1" applyBorder="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13" borderId="31" xfId="0" applyFont="1" applyFill="1" applyBorder="1" applyAlignment="1" applyProtection="1">
      <alignment horizontal="center" vertical="center" wrapText="1"/>
      <protection locked="0"/>
    </xf>
    <xf numFmtId="0" fontId="8" fillId="13" borderId="10" xfId="0" applyFont="1" applyFill="1" applyBorder="1" applyAlignment="1" applyProtection="1">
      <alignment horizontal="center" vertical="center" wrapText="1"/>
      <protection locked="0"/>
    </xf>
    <xf numFmtId="0" fontId="8" fillId="14" borderId="31" xfId="0" applyFont="1" applyFill="1" applyBorder="1" applyAlignment="1" applyProtection="1">
      <alignment horizontal="center" vertical="center" wrapText="1"/>
      <protection locked="0"/>
    </xf>
    <xf numFmtId="0" fontId="8" fillId="14" borderId="10" xfId="0" applyFont="1" applyFill="1" applyBorder="1" applyAlignment="1" applyProtection="1">
      <alignment horizontal="center" vertical="center" wrapText="1"/>
      <protection locked="0"/>
    </xf>
    <xf numFmtId="0" fontId="8" fillId="15" borderId="31" xfId="0" applyFont="1" applyFill="1" applyBorder="1" applyAlignment="1" applyProtection="1">
      <alignment horizontal="center" vertical="center" wrapText="1"/>
      <protection locked="0"/>
    </xf>
    <xf numFmtId="0" fontId="8" fillId="15" borderId="10" xfId="0" applyFont="1" applyFill="1" applyBorder="1" applyAlignment="1" applyProtection="1">
      <alignment horizontal="center" vertical="center" wrapText="1"/>
      <protection locked="0"/>
    </xf>
    <xf numFmtId="0" fontId="8" fillId="16" borderId="31" xfId="0" applyFont="1" applyFill="1" applyBorder="1" applyAlignment="1" applyProtection="1">
      <alignment horizontal="center" vertical="center" wrapText="1"/>
      <protection locked="0"/>
    </xf>
    <xf numFmtId="0" fontId="8" fillId="16" borderId="10" xfId="0" applyFont="1" applyFill="1" applyBorder="1" applyAlignment="1" applyProtection="1">
      <alignment horizontal="center" vertical="center" wrapText="1"/>
      <protection locked="0"/>
    </xf>
    <xf numFmtId="0" fontId="0" fillId="9" borderId="0" xfId="0" applyFill="1"/>
    <xf numFmtId="0" fontId="0" fillId="9" borderId="51" xfId="0" applyFill="1" applyBorder="1"/>
    <xf numFmtId="0" fontId="0" fillId="9" borderId="48" xfId="0" applyFill="1" applyBorder="1"/>
    <xf numFmtId="0" fontId="14" fillId="0" borderId="0" xfId="0" applyFont="1" applyAlignment="1">
      <alignment vertical="center"/>
    </xf>
    <xf numFmtId="0" fontId="14" fillId="0" borderId="2" xfId="0" applyFont="1" applyBorder="1" applyAlignment="1">
      <alignment horizontal="center" vertical="center"/>
    </xf>
    <xf numFmtId="9" fontId="12" fillId="9" borderId="19" xfId="1" applyFont="1" applyFill="1" applyBorder="1" applyAlignment="1" applyProtection="1">
      <alignment horizontal="center" vertical="center"/>
      <protection locked="0"/>
    </xf>
    <xf numFmtId="9" fontId="12" fillId="0" borderId="55" xfId="1" applyFont="1" applyFill="1" applyBorder="1" applyAlignment="1" applyProtection="1">
      <alignment horizontal="center" vertical="center"/>
      <protection locked="0"/>
    </xf>
    <xf numFmtId="9" fontId="12" fillId="9" borderId="34" xfId="1" applyFont="1" applyFill="1" applyBorder="1" applyAlignment="1" applyProtection="1">
      <alignment horizontal="center" vertical="center"/>
      <protection locked="0"/>
    </xf>
    <xf numFmtId="9" fontId="12" fillId="9" borderId="35" xfId="1" applyFont="1" applyFill="1" applyBorder="1" applyAlignment="1" applyProtection="1">
      <alignment horizontal="center" vertical="center"/>
      <protection locked="0"/>
    </xf>
    <xf numFmtId="9" fontId="12" fillId="0" borderId="36" xfId="1" applyFont="1" applyFill="1" applyBorder="1" applyAlignment="1" applyProtection="1">
      <alignment horizontal="center" vertical="center"/>
      <protection locked="0"/>
    </xf>
    <xf numFmtId="9" fontId="12" fillId="8" borderId="49" xfId="0" applyNumberFormat="1" applyFont="1" applyFill="1" applyBorder="1" applyAlignment="1">
      <alignment horizontal="center" vertical="center"/>
    </xf>
    <xf numFmtId="9" fontId="12" fillId="8" borderId="50" xfId="1" applyFont="1" applyFill="1" applyBorder="1" applyAlignment="1">
      <alignment horizontal="center" vertical="center"/>
    </xf>
    <xf numFmtId="9" fontId="4" fillId="3" borderId="19" xfId="1" applyFont="1" applyFill="1" applyBorder="1" applyAlignment="1">
      <alignment horizontal="center" vertical="center"/>
    </xf>
    <xf numFmtId="9" fontId="4" fillId="3" borderId="47" xfId="1" applyFont="1" applyFill="1" applyBorder="1" applyAlignment="1">
      <alignment horizontal="center" vertical="center"/>
    </xf>
    <xf numFmtId="0" fontId="6" fillId="17" borderId="2" xfId="0" applyFont="1" applyFill="1" applyBorder="1" applyAlignment="1">
      <alignment horizontal="center" vertical="center" wrapText="1"/>
    </xf>
    <xf numFmtId="0" fontId="15" fillId="18" borderId="16" xfId="0" applyFont="1" applyFill="1" applyBorder="1" applyAlignment="1">
      <alignment horizontal="center" vertical="center" wrapText="1"/>
    </xf>
    <xf numFmtId="0" fontId="15" fillId="19" borderId="17" xfId="0" applyFont="1" applyFill="1" applyBorder="1" applyAlignment="1">
      <alignment horizontal="center" vertical="center" wrapText="1"/>
    </xf>
    <xf numFmtId="0" fontId="15" fillId="20" borderId="17" xfId="0" applyFont="1" applyFill="1" applyBorder="1" applyAlignment="1">
      <alignment horizontal="center" vertical="center" wrapText="1"/>
    </xf>
    <xf numFmtId="0" fontId="15" fillId="21" borderId="17" xfId="0" applyFont="1" applyFill="1" applyBorder="1" applyAlignment="1">
      <alignment horizontal="center" vertical="center" wrapText="1"/>
    </xf>
    <xf numFmtId="0" fontId="15" fillId="22" borderId="18" xfId="0" applyFont="1" applyFill="1" applyBorder="1" applyAlignment="1">
      <alignment horizontal="center" vertical="center" wrapText="1"/>
    </xf>
    <xf numFmtId="0" fontId="8" fillId="24" borderId="28" xfId="0" applyFont="1" applyFill="1" applyBorder="1" applyAlignment="1">
      <alignment horizontal="center" vertical="center" wrapText="1"/>
    </xf>
    <xf numFmtId="0" fontId="8" fillId="24" borderId="29" xfId="0" applyFont="1" applyFill="1" applyBorder="1" applyAlignment="1">
      <alignment horizontal="center" vertical="center" wrapText="1"/>
    </xf>
    <xf numFmtId="0" fontId="16" fillId="25" borderId="30" xfId="0" applyFont="1" applyFill="1" applyBorder="1" applyAlignment="1">
      <alignment horizontal="center" vertical="center" wrapText="1"/>
    </xf>
    <xf numFmtId="0" fontId="1" fillId="24" borderId="0" xfId="0" applyFont="1" applyFill="1" applyAlignment="1">
      <alignment wrapText="1"/>
    </xf>
    <xf numFmtId="0" fontId="1" fillId="23" borderId="25" xfId="0" applyFont="1" applyFill="1" applyBorder="1" applyAlignment="1">
      <alignment horizontal="center" vertical="center" wrapText="1"/>
    </xf>
    <xf numFmtId="0" fontId="10" fillId="23" borderId="23" xfId="0" applyFont="1" applyFill="1" applyBorder="1" applyAlignment="1">
      <alignment horizontal="left" vertical="center" wrapText="1" indent="1"/>
    </xf>
    <xf numFmtId="0" fontId="1" fillId="23" borderId="1" xfId="0" applyFont="1" applyFill="1" applyBorder="1" applyAlignment="1">
      <alignment horizontal="left" vertical="center" wrapText="1" indent="1"/>
    </xf>
    <xf numFmtId="165" fontId="19" fillId="24" borderId="2" xfId="2" applyNumberFormat="1" applyFont="1" applyFill="1" applyBorder="1" applyAlignment="1" applyProtection="1">
      <alignment horizontal="center" vertical="center" wrapText="1"/>
    </xf>
    <xf numFmtId="9" fontId="19" fillId="24" borderId="6" xfId="1" applyFont="1" applyFill="1" applyBorder="1" applyAlignment="1" applyProtection="1">
      <alignment horizontal="center" vertical="center" wrapText="1"/>
    </xf>
    <xf numFmtId="0" fontId="8" fillId="26" borderId="28" xfId="0" applyFont="1" applyFill="1" applyBorder="1" applyAlignment="1">
      <alignment horizontal="center" vertical="center" wrapText="1"/>
    </xf>
    <xf numFmtId="0" fontId="8" fillId="26" borderId="29" xfId="0" applyFont="1" applyFill="1" applyBorder="1" applyAlignment="1">
      <alignment horizontal="center" vertical="center" wrapText="1"/>
    </xf>
    <xf numFmtId="0" fontId="16" fillId="27" borderId="30" xfId="0" applyFont="1" applyFill="1" applyBorder="1" applyAlignment="1">
      <alignment horizontal="center" vertical="center" wrapText="1"/>
    </xf>
    <xf numFmtId="0" fontId="1" fillId="26" borderId="0" xfId="0" applyFont="1" applyFill="1" applyAlignment="1">
      <alignment wrapText="1"/>
    </xf>
    <xf numFmtId="0" fontId="1" fillId="28" borderId="25" xfId="0" applyFont="1" applyFill="1" applyBorder="1" applyAlignment="1">
      <alignment horizontal="center" vertical="center" wrapText="1"/>
    </xf>
    <xf numFmtId="0" fontId="10" fillId="28" borderId="23" xfId="0" applyFont="1" applyFill="1" applyBorder="1" applyAlignment="1">
      <alignment horizontal="left" vertical="center" wrapText="1" indent="1"/>
    </xf>
    <xf numFmtId="0" fontId="1" fillId="28" borderId="1" xfId="0" applyFont="1" applyFill="1" applyBorder="1" applyAlignment="1">
      <alignment horizontal="left" vertical="center" wrapText="1" indent="1"/>
    </xf>
    <xf numFmtId="165" fontId="19" fillId="26" borderId="2" xfId="2" applyNumberFormat="1" applyFont="1" applyFill="1" applyBorder="1" applyAlignment="1" applyProtection="1">
      <alignment horizontal="center" vertical="center" wrapText="1"/>
    </xf>
    <xf numFmtId="9" fontId="19" fillId="26" borderId="6" xfId="1" applyFont="1" applyFill="1" applyBorder="1" applyAlignment="1" applyProtection="1">
      <alignment horizontal="center" vertical="center" wrapText="1"/>
    </xf>
    <xf numFmtId="0" fontId="8" fillId="29" borderId="28" xfId="0" applyFont="1" applyFill="1" applyBorder="1" applyAlignment="1">
      <alignment horizontal="center" vertical="center" wrapText="1"/>
    </xf>
    <xf numFmtId="0" fontId="8" fillId="29" borderId="29" xfId="0" applyFont="1" applyFill="1" applyBorder="1" applyAlignment="1">
      <alignment horizontal="center" vertical="center" wrapText="1"/>
    </xf>
    <xf numFmtId="0" fontId="16" fillId="30" borderId="30" xfId="0" applyFont="1" applyFill="1" applyBorder="1" applyAlignment="1">
      <alignment horizontal="center" vertical="center" wrapText="1"/>
    </xf>
    <xf numFmtId="0" fontId="1" fillId="29" borderId="0" xfId="0" applyFont="1" applyFill="1" applyAlignment="1">
      <alignment wrapText="1"/>
    </xf>
    <xf numFmtId="165" fontId="19" fillId="29" borderId="2" xfId="2" applyNumberFormat="1" applyFont="1" applyFill="1" applyBorder="1" applyAlignment="1" applyProtection="1">
      <alignment horizontal="center" vertical="center" wrapText="1"/>
    </xf>
    <xf numFmtId="9" fontId="19" fillId="29" borderId="6" xfId="1" applyFont="1" applyFill="1" applyBorder="1" applyAlignment="1" applyProtection="1">
      <alignment horizontal="center" vertical="center" wrapText="1"/>
    </xf>
    <xf numFmtId="0" fontId="1" fillId="31" borderId="25" xfId="0" applyFont="1" applyFill="1" applyBorder="1" applyAlignment="1">
      <alignment horizontal="center" vertical="center" wrapText="1"/>
    </xf>
    <xf numFmtId="0" fontId="10" fillId="31" borderId="23" xfId="0" applyFont="1" applyFill="1" applyBorder="1" applyAlignment="1">
      <alignment horizontal="left" vertical="center" wrapText="1" indent="1"/>
    </xf>
    <xf numFmtId="0" fontId="1" fillId="31" borderId="1" xfId="0" applyFont="1" applyFill="1" applyBorder="1" applyAlignment="1">
      <alignment horizontal="left" vertical="center" wrapText="1" indent="1"/>
    </xf>
    <xf numFmtId="0" fontId="1" fillId="31" borderId="23" xfId="0" applyFont="1" applyFill="1" applyBorder="1" applyAlignment="1">
      <alignment horizontal="left" vertical="center" wrapText="1" indent="1"/>
    </xf>
    <xf numFmtId="0" fontId="16" fillId="30" borderId="43" xfId="0" applyFont="1" applyFill="1" applyBorder="1" applyAlignment="1">
      <alignment horizontal="center" vertical="center" wrapText="1"/>
    </xf>
    <xf numFmtId="0" fontId="8" fillId="32" borderId="28" xfId="0" applyFont="1" applyFill="1" applyBorder="1" applyAlignment="1">
      <alignment horizontal="center" vertical="center" wrapText="1"/>
    </xf>
    <xf numFmtId="0" fontId="8" fillId="32" borderId="29" xfId="0" applyFont="1" applyFill="1" applyBorder="1" applyAlignment="1">
      <alignment horizontal="center" vertical="center" wrapText="1"/>
    </xf>
    <xf numFmtId="0" fontId="16" fillId="33" borderId="30" xfId="0" applyFont="1" applyFill="1" applyBorder="1" applyAlignment="1">
      <alignment horizontal="center" vertical="center" wrapText="1"/>
    </xf>
    <xf numFmtId="0" fontId="1" fillId="32" borderId="0" xfId="0" applyFont="1" applyFill="1" applyAlignment="1">
      <alignment wrapText="1"/>
    </xf>
    <xf numFmtId="165" fontId="19" fillId="32" borderId="2" xfId="2" applyNumberFormat="1" applyFont="1" applyFill="1" applyBorder="1" applyAlignment="1" applyProtection="1">
      <alignment horizontal="center" vertical="center" wrapText="1"/>
    </xf>
    <xf numFmtId="9" fontId="19" fillId="32" borderId="6" xfId="1" applyFont="1" applyFill="1" applyBorder="1" applyAlignment="1" applyProtection="1">
      <alignment horizontal="center" vertical="center" wrapText="1"/>
    </xf>
    <xf numFmtId="0" fontId="1" fillId="34" borderId="25" xfId="0" applyFont="1" applyFill="1" applyBorder="1" applyAlignment="1">
      <alignment horizontal="center" vertical="center" wrapText="1"/>
    </xf>
    <xf numFmtId="0" fontId="10" fillId="34" borderId="23" xfId="0" applyFont="1" applyFill="1" applyBorder="1" applyAlignment="1">
      <alignment horizontal="left" vertical="center" wrapText="1" indent="1"/>
    </xf>
    <xf numFmtId="0" fontId="1" fillId="34" borderId="1" xfId="0" applyFont="1" applyFill="1" applyBorder="1" applyAlignment="1">
      <alignment horizontal="left" vertical="center" wrapText="1" indent="1"/>
    </xf>
    <xf numFmtId="0" fontId="1" fillId="34" borderId="23" xfId="0" applyFont="1" applyFill="1" applyBorder="1" applyAlignment="1">
      <alignment horizontal="left" vertical="center" wrapText="1" indent="1"/>
    </xf>
    <xf numFmtId="0" fontId="31" fillId="0" borderId="0" xfId="0" applyFont="1" applyAlignment="1">
      <alignment horizontal="center" vertical="center" wrapText="1"/>
    </xf>
    <xf numFmtId="0" fontId="26" fillId="0" borderId="0" xfId="0" applyFont="1" applyAlignment="1">
      <alignment vertical="center" wrapText="1"/>
    </xf>
    <xf numFmtId="0" fontId="33" fillId="0" borderId="0" xfId="0" applyFont="1" applyAlignment="1">
      <alignment vertical="center" wrapText="1"/>
    </xf>
    <xf numFmtId="0" fontId="28" fillId="9" borderId="0" xfId="0" applyFont="1" applyFill="1" applyAlignment="1">
      <alignment horizontal="center" vertical="center"/>
    </xf>
    <xf numFmtId="0" fontId="27" fillId="11" borderId="36" xfId="0" applyFont="1" applyFill="1" applyBorder="1" applyAlignment="1">
      <alignment horizontal="center" vertical="center" wrapText="1"/>
    </xf>
    <xf numFmtId="0" fontId="27" fillId="11" borderId="56" xfId="0" applyFont="1" applyFill="1" applyBorder="1" applyAlignment="1">
      <alignment horizontal="center" vertical="center" wrapText="1"/>
    </xf>
    <xf numFmtId="0" fontId="27" fillId="11" borderId="0" xfId="0" applyFont="1" applyFill="1" applyAlignment="1">
      <alignment horizontal="center" vertical="center" wrapText="1"/>
    </xf>
    <xf numFmtId="0" fontId="5" fillId="9" borderId="36" xfId="0" applyFont="1" applyFill="1" applyBorder="1" applyAlignment="1">
      <alignment horizontal="center" vertical="center" wrapText="1"/>
    </xf>
    <xf numFmtId="0" fontId="5" fillId="9" borderId="0" xfId="0" applyFont="1" applyFill="1" applyAlignment="1">
      <alignment horizontal="center" vertical="center" wrapText="1"/>
    </xf>
    <xf numFmtId="0" fontId="29" fillId="9" borderId="36" xfId="0" applyFont="1" applyFill="1" applyBorder="1" applyAlignment="1" applyProtection="1">
      <alignment horizontal="center" vertical="center" wrapText="1"/>
      <protection locked="0"/>
    </xf>
    <xf numFmtId="0" fontId="29" fillId="9" borderId="37" xfId="0" applyFont="1" applyFill="1" applyBorder="1" applyAlignment="1" applyProtection="1">
      <alignment horizontal="center" vertical="center" wrapText="1"/>
      <protection locked="0"/>
    </xf>
    <xf numFmtId="0" fontId="29" fillId="9" borderId="0" xfId="0" applyFont="1" applyFill="1" applyAlignment="1" applyProtection="1">
      <alignment horizontal="center" vertical="center" wrapText="1"/>
      <protection locked="0"/>
    </xf>
    <xf numFmtId="0" fontId="29" fillId="9" borderId="8" xfId="0" applyFont="1" applyFill="1" applyBorder="1" applyAlignment="1" applyProtection="1">
      <alignment horizontal="center" vertical="center" wrapText="1"/>
      <protection locked="0"/>
    </xf>
    <xf numFmtId="0" fontId="8" fillId="9" borderId="0" xfId="0" applyFont="1" applyFill="1" applyAlignment="1">
      <alignment horizontal="left" vertical="center" wrapText="1" indent="5"/>
    </xf>
    <xf numFmtId="0" fontId="5" fillId="9" borderId="21"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5" fillId="9" borderId="20" xfId="0" applyFont="1" applyFill="1" applyBorder="1" applyAlignment="1">
      <alignment horizontal="center" vertical="center" wrapText="1"/>
    </xf>
    <xf numFmtId="0" fontId="5" fillId="9" borderId="33" xfId="0" applyFont="1" applyFill="1" applyBorder="1" applyAlignment="1">
      <alignment horizontal="center" vertical="center" wrapText="1"/>
    </xf>
    <xf numFmtId="0" fontId="12" fillId="9" borderId="7" xfId="0" applyFont="1" applyFill="1" applyBorder="1" applyAlignment="1" applyProtection="1">
      <alignment horizontal="left" vertical="center" wrapText="1"/>
      <protection locked="0"/>
    </xf>
    <xf numFmtId="0" fontId="12" fillId="9" borderId="22" xfId="0" applyFont="1" applyFill="1" applyBorder="1" applyAlignment="1" applyProtection="1">
      <alignment horizontal="left" vertical="center" wrapText="1"/>
      <protection locked="0"/>
    </xf>
    <xf numFmtId="0" fontId="12" fillId="9" borderId="0" xfId="0" applyFont="1" applyFill="1" applyAlignment="1" applyProtection="1">
      <alignment horizontal="left" vertical="center" wrapText="1"/>
      <protection locked="0"/>
    </xf>
    <xf numFmtId="0" fontId="12" fillId="9" borderId="8" xfId="0" applyFont="1" applyFill="1" applyBorder="1" applyAlignment="1" applyProtection="1">
      <alignment horizontal="left" vertical="center" wrapText="1"/>
      <protection locked="0"/>
    </xf>
    <xf numFmtId="0" fontId="12" fillId="9" borderId="36" xfId="0" applyFont="1" applyFill="1" applyBorder="1" applyAlignment="1" applyProtection="1">
      <alignment horizontal="left" vertical="center" wrapText="1"/>
      <protection locked="0"/>
    </xf>
    <xf numFmtId="0" fontId="12" fillId="9" borderId="37" xfId="0" applyFont="1" applyFill="1" applyBorder="1" applyAlignment="1" applyProtection="1">
      <alignment horizontal="left" vertical="center" wrapText="1"/>
      <protection locked="0"/>
    </xf>
    <xf numFmtId="0" fontId="12" fillId="9" borderId="0" xfId="0" applyFont="1" applyFill="1" applyAlignment="1">
      <alignment horizontal="center" vertical="center" wrapText="1"/>
    </xf>
    <xf numFmtId="0" fontId="22" fillId="29" borderId="4" xfId="0" applyFont="1" applyFill="1" applyBorder="1" applyAlignment="1">
      <alignment horizontal="center" vertical="center" wrapText="1"/>
    </xf>
    <xf numFmtId="0" fontId="22" fillId="29" borderId="5" xfId="0" applyFont="1" applyFill="1" applyBorder="1" applyAlignment="1">
      <alignment horizontal="center" vertical="center" wrapText="1"/>
    </xf>
    <xf numFmtId="0" fontId="22" fillId="32" borderId="4" xfId="0" applyFont="1" applyFill="1" applyBorder="1" applyAlignment="1">
      <alignment horizontal="center" vertical="center" wrapText="1"/>
    </xf>
    <xf numFmtId="0" fontId="22" fillId="32" borderId="5" xfId="0" applyFont="1" applyFill="1" applyBorder="1" applyAlignment="1">
      <alignment horizontal="center" vertical="center" wrapText="1"/>
    </xf>
    <xf numFmtId="0" fontId="22" fillId="26" borderId="4" xfId="0" applyFont="1" applyFill="1" applyBorder="1" applyAlignment="1">
      <alignment horizontal="center" vertical="center" wrapText="1"/>
    </xf>
    <xf numFmtId="0" fontId="22" fillId="26" borderId="5" xfId="0" applyFont="1" applyFill="1" applyBorder="1" applyAlignment="1">
      <alignment horizontal="center" vertical="center" wrapText="1"/>
    </xf>
    <xf numFmtId="0" fontId="22" fillId="24" borderId="4" xfId="0" applyFont="1" applyFill="1" applyBorder="1" applyAlignment="1">
      <alignment horizontal="center" vertical="center" wrapText="1"/>
    </xf>
    <xf numFmtId="0" fontId="22" fillId="24" borderId="5" xfId="0" applyFont="1" applyFill="1" applyBorder="1" applyAlignment="1">
      <alignment horizontal="center" vertical="center" wrapText="1"/>
    </xf>
    <xf numFmtId="0" fontId="4" fillId="0" borderId="0" xfId="0" applyFont="1" applyAlignment="1">
      <alignment horizontal="center" vertical="center" wrapText="1"/>
    </xf>
    <xf numFmtId="0" fontId="18" fillId="0" borderId="0" xfId="0" applyFont="1" applyAlignment="1">
      <alignment horizontal="left" vertical="top" wrapText="1"/>
    </xf>
    <xf numFmtId="0" fontId="12" fillId="9" borderId="48" xfId="0" applyFont="1" applyFill="1" applyBorder="1" applyAlignment="1">
      <alignment horizontal="center" vertical="center" wrapText="1"/>
    </xf>
    <xf numFmtId="0" fontId="12" fillId="9" borderId="59" xfId="0" applyFont="1" applyFill="1" applyBorder="1" applyAlignment="1">
      <alignment horizontal="center" vertical="center" wrapText="1"/>
    </xf>
    <xf numFmtId="0" fontId="12" fillId="9" borderId="58" xfId="0" applyFont="1" applyFill="1" applyBorder="1" applyAlignment="1">
      <alignment horizontal="center" vertical="center" wrapText="1"/>
    </xf>
    <xf numFmtId="0" fontId="13" fillId="9" borderId="0" xfId="0" applyFont="1" applyFill="1" applyAlignment="1">
      <alignment horizontal="center"/>
    </xf>
    <xf numFmtId="0" fontId="13" fillId="9" borderId="48" xfId="0" applyFont="1" applyFill="1" applyBorder="1" applyAlignment="1">
      <alignment horizontal="center"/>
    </xf>
    <xf numFmtId="0" fontId="2" fillId="21" borderId="42" xfId="0" applyFont="1" applyFill="1" applyBorder="1" applyAlignment="1">
      <alignment horizontal="center" vertical="center" wrapText="1"/>
    </xf>
    <xf numFmtId="0" fontId="2" fillId="21" borderId="34"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11" fillId="8" borderId="52" xfId="0" applyFont="1" applyFill="1" applyBorder="1" applyAlignment="1">
      <alignment horizontal="center" vertical="center" textRotation="90" wrapText="1"/>
    </xf>
    <xf numFmtId="0" fontId="11" fillId="8" borderId="53" xfId="0" applyFont="1" applyFill="1" applyBorder="1" applyAlignment="1">
      <alignment horizontal="center" vertical="center" textRotation="90" wrapText="1"/>
    </xf>
    <xf numFmtId="0" fontId="15" fillId="17" borderId="20" xfId="0" applyFont="1" applyFill="1" applyBorder="1" applyAlignment="1">
      <alignment horizontal="center" vertical="center" textRotation="90" wrapText="1"/>
    </xf>
    <xf numFmtId="0" fontId="15" fillId="17" borderId="8" xfId="0" applyFont="1" applyFill="1" applyBorder="1" applyAlignment="1">
      <alignment horizontal="center" vertical="center" textRotation="90" wrapText="1"/>
    </xf>
    <xf numFmtId="0" fontId="15" fillId="17" borderId="33" xfId="0" applyFont="1" applyFill="1" applyBorder="1" applyAlignment="1">
      <alignment horizontal="center" vertical="center" textRotation="90" wrapText="1"/>
    </xf>
    <xf numFmtId="0" fontId="15" fillId="17" borderId="37" xfId="0" applyFont="1" applyFill="1" applyBorder="1" applyAlignment="1">
      <alignment horizontal="center" vertical="center" textRotation="90" wrapText="1"/>
    </xf>
    <xf numFmtId="0" fontId="11" fillId="3" borderId="62" xfId="0" applyFont="1" applyFill="1" applyBorder="1" applyAlignment="1">
      <alignment horizontal="center" vertical="center" textRotation="90" wrapText="1"/>
    </xf>
    <xf numFmtId="0" fontId="11" fillId="3" borderId="39" xfId="0" applyFont="1" applyFill="1" applyBorder="1" applyAlignment="1">
      <alignment horizontal="center" vertical="center" textRotation="90" wrapText="1"/>
    </xf>
    <xf numFmtId="0" fontId="11" fillId="3" borderId="3" xfId="0" applyFont="1" applyFill="1" applyBorder="1" applyAlignment="1">
      <alignment horizontal="center" vertical="center" textRotation="90" wrapText="1"/>
    </xf>
    <xf numFmtId="0" fontId="4" fillId="0" borderId="0" xfId="0" applyFont="1" applyAlignment="1">
      <alignment horizontal="center"/>
    </xf>
    <xf numFmtId="0" fontId="2" fillId="22" borderId="45" xfId="0" applyFont="1" applyFill="1" applyBorder="1" applyAlignment="1">
      <alignment horizontal="center" vertical="center" wrapText="1"/>
    </xf>
    <xf numFmtId="0" fontId="2" fillId="22" borderId="35" xfId="0" applyFont="1" applyFill="1" applyBorder="1" applyAlignment="1">
      <alignment horizontal="center" vertical="center" wrapText="1"/>
    </xf>
    <xf numFmtId="0" fontId="15" fillId="18" borderId="31" xfId="0" applyFont="1" applyFill="1" applyBorder="1" applyAlignment="1">
      <alignment horizontal="center" vertical="center" wrapText="1"/>
    </xf>
    <xf numFmtId="0" fontId="15" fillId="18" borderId="57" xfId="0" applyFont="1" applyFill="1" applyBorder="1" applyAlignment="1">
      <alignment horizontal="center" vertical="center" wrapText="1"/>
    </xf>
    <xf numFmtId="0" fontId="15" fillId="18" borderId="44" xfId="0" applyFont="1" applyFill="1" applyBorder="1" applyAlignment="1">
      <alignment horizontal="center" vertical="center" wrapText="1"/>
    </xf>
    <xf numFmtId="0" fontId="1" fillId="0" borderId="0" xfId="0" applyFont="1" applyAlignment="1">
      <alignment horizontal="left" vertical="top" wrapText="1"/>
    </xf>
    <xf numFmtId="0" fontId="15" fillId="19" borderId="31" xfId="0" applyFont="1" applyFill="1" applyBorder="1" applyAlignment="1">
      <alignment horizontal="center" vertical="center" wrapText="1"/>
    </xf>
    <xf numFmtId="0" fontId="15" fillId="19" borderId="57" xfId="0" applyFont="1" applyFill="1" applyBorder="1" applyAlignment="1">
      <alignment horizontal="center" vertical="center" wrapText="1"/>
    </xf>
    <xf numFmtId="0" fontId="15" fillId="19" borderId="44" xfId="0" applyFont="1" applyFill="1" applyBorder="1" applyAlignment="1">
      <alignment horizontal="center" vertical="center" wrapText="1"/>
    </xf>
    <xf numFmtId="0" fontId="15" fillId="20" borderId="31" xfId="0" applyFont="1" applyFill="1" applyBorder="1" applyAlignment="1">
      <alignment horizontal="center" vertical="center" wrapText="1"/>
    </xf>
    <xf numFmtId="0" fontId="15" fillId="20" borderId="57" xfId="0" applyFont="1" applyFill="1" applyBorder="1" applyAlignment="1">
      <alignment horizontal="center" vertical="center" wrapText="1"/>
    </xf>
    <xf numFmtId="0" fontId="15" fillId="20" borderId="44" xfId="0" applyFont="1" applyFill="1" applyBorder="1" applyAlignment="1">
      <alignment horizontal="center" vertical="center" wrapText="1"/>
    </xf>
    <xf numFmtId="0" fontId="15" fillId="21" borderId="31" xfId="0" applyFont="1" applyFill="1" applyBorder="1" applyAlignment="1">
      <alignment horizontal="center" vertical="center" wrapText="1"/>
    </xf>
    <xf numFmtId="0" fontId="15" fillId="21" borderId="57" xfId="0" applyFont="1" applyFill="1" applyBorder="1" applyAlignment="1">
      <alignment horizontal="center" vertical="center" wrapText="1"/>
    </xf>
    <xf numFmtId="0" fontId="15" fillId="21" borderId="44" xfId="0" applyFont="1" applyFill="1" applyBorder="1" applyAlignment="1">
      <alignment horizontal="center" vertical="center" wrapText="1"/>
    </xf>
    <xf numFmtId="0" fontId="11" fillId="0" borderId="0" xfId="0" applyFont="1" applyAlignment="1">
      <alignment horizontal="left" vertical="center" wrapText="1" indent="1"/>
    </xf>
    <xf numFmtId="0" fontId="4" fillId="9" borderId="0" xfId="0" applyFont="1" applyFill="1" applyAlignment="1">
      <alignment horizontal="center" vertical="center" wrapText="1"/>
    </xf>
    <xf numFmtId="0" fontId="0" fillId="9" borderId="48" xfId="0" applyFill="1" applyBorder="1" applyAlignment="1">
      <alignment horizontal="center" vertical="center" textRotation="90" wrapText="1"/>
    </xf>
    <xf numFmtId="0" fontId="14" fillId="9" borderId="60" xfId="0" applyFont="1" applyFill="1" applyBorder="1" applyAlignment="1">
      <alignment horizontal="center" vertical="center" wrapText="1"/>
    </xf>
    <xf numFmtId="0" fontId="14" fillId="9" borderId="0" xfId="0" applyFont="1" applyFill="1" applyAlignment="1">
      <alignment horizontal="center" vertical="center" wrapText="1"/>
    </xf>
    <xf numFmtId="0" fontId="14" fillId="9" borderId="48" xfId="0" applyFont="1" applyFill="1" applyBorder="1" applyAlignment="1">
      <alignment horizontal="center" vertical="center" wrapText="1"/>
    </xf>
    <xf numFmtId="0" fontId="14" fillId="9" borderId="61" xfId="0" applyFont="1" applyFill="1" applyBorder="1" applyAlignment="1">
      <alignment horizontal="center" vertical="center" wrapText="1"/>
    </xf>
    <xf numFmtId="0" fontId="14" fillId="9" borderId="46" xfId="0" applyFont="1" applyFill="1" applyBorder="1" applyAlignment="1">
      <alignment horizontal="center" vertical="center" wrapText="1"/>
    </xf>
    <xf numFmtId="0" fontId="14" fillId="9" borderId="54"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3" fillId="9" borderId="51" xfId="0" applyFont="1" applyFill="1" applyBorder="1" applyAlignment="1">
      <alignment horizontal="center" vertical="center" wrapText="1"/>
    </xf>
    <xf numFmtId="0" fontId="6" fillId="9" borderId="0" xfId="0" applyFont="1" applyFill="1" applyAlignment="1">
      <alignment horizontal="center" vertical="center" wrapText="1"/>
    </xf>
    <xf numFmtId="0" fontId="25" fillId="9" borderId="48" xfId="0" applyFont="1" applyFill="1" applyBorder="1" applyAlignment="1">
      <alignment horizontal="center" vertical="center" textRotation="90" wrapText="1"/>
    </xf>
    <xf numFmtId="0" fontId="2" fillId="19" borderId="42" xfId="0" applyFont="1" applyFill="1" applyBorder="1" applyAlignment="1">
      <alignment horizontal="center" vertical="center" wrapText="1"/>
    </xf>
    <xf numFmtId="0" fontId="2" fillId="19" borderId="34" xfId="0" applyFont="1" applyFill="1" applyBorder="1" applyAlignment="1">
      <alignment horizontal="center" vertical="center" wrapText="1"/>
    </xf>
    <xf numFmtId="0" fontId="2" fillId="18" borderId="31" xfId="0" applyFont="1" applyFill="1" applyBorder="1" applyAlignment="1">
      <alignment horizontal="center" vertical="center" wrapText="1"/>
    </xf>
    <xf numFmtId="0" fontId="2" fillId="18" borderId="44" xfId="0" applyFont="1" applyFill="1" applyBorder="1" applyAlignment="1">
      <alignment horizontal="center" vertical="center" wrapText="1"/>
    </xf>
    <xf numFmtId="0" fontId="2" fillId="20" borderId="42" xfId="0" applyFont="1" applyFill="1" applyBorder="1" applyAlignment="1">
      <alignment horizontal="center" vertical="center" wrapText="1"/>
    </xf>
    <xf numFmtId="0" fontId="2" fillId="20" borderId="34" xfId="0" applyFont="1" applyFill="1" applyBorder="1" applyAlignment="1">
      <alignment horizontal="center" vertical="center" wrapText="1"/>
    </xf>
    <xf numFmtId="0" fontId="0" fillId="0" borderId="0" xfId="0" applyAlignment="1">
      <alignment horizontal="center"/>
    </xf>
  </cellXfs>
  <cellStyles count="3">
    <cellStyle name="Komma" xfId="2" builtinId="3"/>
    <cellStyle name="Prozent" xfId="1" builtinId="5"/>
    <cellStyle name="Standard" xfId="0" builtinId="0"/>
  </cellStyles>
  <dxfs count="17">
    <dxf>
      <alignment horizontal="left" vertical="center" textRotation="0" wrapText="1" indent="0" justifyLastLine="0" shrinkToFit="0" readingOrder="0"/>
    </dxf>
    <dxf>
      <alignment horizontal="center"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C0DFCD"/>
      <color rgb="FFFDE7BD"/>
      <color rgb="FFFADADA"/>
      <color rgb="FF90ABD3"/>
      <color rgb="FFB6ABD6"/>
      <color rgb="FFF7A600"/>
      <color rgb="FF42976A"/>
      <color rgb="FFEB5C3F"/>
      <color rgb="FF6285BB"/>
      <color rgb="FF9184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113357536894714"/>
          <c:y val="9.6692913385826765E-2"/>
          <c:w val="0.57635128676008152"/>
          <c:h val="0.82232685016936991"/>
        </c:manualLayout>
      </c:layout>
      <c:radarChart>
        <c:radarStyle val="filled"/>
        <c:varyColors val="0"/>
        <c:ser>
          <c:idx val="1"/>
          <c:order val="0"/>
          <c:tx>
            <c:v>Kritische Zone</c:v>
          </c:tx>
          <c:spPr>
            <a:solidFill>
              <a:schemeClr val="accent2">
                <a:alpha val="50196"/>
              </a:schemeClr>
            </a:solidFill>
            <a:ln w="25400">
              <a:solidFill>
                <a:schemeClr val="accent2"/>
              </a:solidFill>
              <a:prstDash val="sysDot"/>
            </a:ln>
            <a:effectLst/>
          </c:spPr>
          <c:cat>
            <c:strRef>
              <c:f>Auswertung!$A$20:$A$23</c:f>
              <c:strCache>
                <c:ptCount val="4"/>
                <c:pt idx="0">
                  <c:v>Hardware</c:v>
                </c:pt>
                <c:pt idx="1">
                  <c:v>Team</c:v>
                </c:pt>
                <c:pt idx="2">
                  <c:v>Einrichtung</c:v>
                </c:pt>
                <c:pt idx="3">
                  <c:v>Markt</c:v>
                </c:pt>
              </c:strCache>
            </c:strRef>
          </c:cat>
          <c:val>
            <c:numRef>
              <c:f>Bewertungsbogen!$F$5:$F$8</c:f>
              <c:numCache>
                <c:formatCode>0%</c:formatCode>
                <c:ptCount val="4"/>
                <c:pt idx="0">
                  <c:v>0.6</c:v>
                </c:pt>
                <c:pt idx="1">
                  <c:v>0.6</c:v>
                </c:pt>
                <c:pt idx="2">
                  <c:v>0.6</c:v>
                </c:pt>
                <c:pt idx="3">
                  <c:v>0.6</c:v>
                </c:pt>
              </c:numCache>
            </c:numRef>
          </c:val>
          <c:extLst>
            <c:ext xmlns:c16="http://schemas.microsoft.com/office/drawing/2014/chart" uri="{C3380CC4-5D6E-409C-BE32-E72D297353CC}">
              <c16:uniqueId val="{00000000-A7A7-8646-A36B-366840B89CE5}"/>
            </c:ext>
          </c:extLst>
        </c:ser>
        <c:ser>
          <c:idx val="0"/>
          <c:order val="1"/>
          <c:tx>
            <c:v>Bewertungen</c:v>
          </c:tx>
          <c:spPr>
            <a:noFill/>
            <a:ln w="25400">
              <a:solidFill>
                <a:schemeClr val="accent5"/>
              </a:solidFill>
              <a:prstDash val="solid"/>
            </a:ln>
            <a:effectLst/>
          </c:spPr>
          <c:cat>
            <c:strRef>
              <c:f>Auswertung!$A$20:$A$23</c:f>
              <c:strCache>
                <c:ptCount val="4"/>
                <c:pt idx="0">
                  <c:v>Hardware</c:v>
                </c:pt>
                <c:pt idx="1">
                  <c:v>Team</c:v>
                </c:pt>
                <c:pt idx="2">
                  <c:v>Einrichtung</c:v>
                </c:pt>
                <c:pt idx="3">
                  <c:v>Markt</c:v>
                </c:pt>
              </c:strCache>
            </c:strRef>
          </c:cat>
          <c:val>
            <c:numRef>
              <c:f>Bewertungsbogen!$I$5:$I$8</c:f>
              <c:numCache>
                <c:formatCode>0%</c:formatCode>
                <c:ptCount val="4"/>
                <c:pt idx="0">
                  <c:v>0</c:v>
                </c:pt>
                <c:pt idx="1">
                  <c:v>0</c:v>
                </c:pt>
                <c:pt idx="2">
                  <c:v>0</c:v>
                </c:pt>
                <c:pt idx="3">
                  <c:v>0</c:v>
                </c:pt>
              </c:numCache>
            </c:numRef>
          </c:val>
          <c:extLst>
            <c:ext xmlns:c16="http://schemas.microsoft.com/office/drawing/2014/chart" uri="{C3380CC4-5D6E-409C-BE32-E72D297353CC}">
              <c16:uniqueId val="{00000002-A7A7-8646-A36B-366840B89CE5}"/>
            </c:ext>
          </c:extLst>
        </c:ser>
        <c:dLbls>
          <c:showLegendKey val="0"/>
          <c:showVal val="0"/>
          <c:showCatName val="0"/>
          <c:showSerName val="0"/>
          <c:showPercent val="0"/>
          <c:showBubbleSize val="0"/>
        </c:dLbls>
        <c:axId val="1580567439"/>
        <c:axId val="1246916447"/>
      </c:radarChart>
      <c:catAx>
        <c:axId val="15805674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t" anchorCtr="0"/>
          <a:lstStyle/>
          <a:p>
            <a:pPr>
              <a:defRPr sz="1600" b="0" i="0" u="none" strike="noStrike" kern="1200" baseline="0">
                <a:solidFill>
                  <a:schemeClr val="tx1">
                    <a:lumMod val="65000"/>
                    <a:lumOff val="35000"/>
                  </a:schemeClr>
                </a:solidFill>
                <a:latin typeface="+mn-lt"/>
                <a:ea typeface="+mn-ea"/>
                <a:cs typeface="+mn-cs"/>
              </a:defRPr>
            </a:pPr>
            <a:endParaRPr lang="de-DE"/>
          </a:p>
        </c:txPr>
        <c:crossAx val="1246916447"/>
        <c:crosses val="autoZero"/>
        <c:auto val="1"/>
        <c:lblAlgn val="ctr"/>
        <c:lblOffset val="100"/>
        <c:noMultiLvlLbl val="0"/>
      </c:catAx>
      <c:valAx>
        <c:axId val="12469164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80567439"/>
        <c:crosses val="autoZero"/>
        <c:crossBetween val="between"/>
      </c:valAx>
      <c:spPr>
        <a:noFill/>
        <a:ln>
          <a:noFill/>
        </a:ln>
        <a:effectLst/>
      </c:spPr>
    </c:plotArea>
    <c:legend>
      <c:legendPos val="r"/>
      <c:layout>
        <c:manualLayout>
          <c:xMode val="edge"/>
          <c:yMode val="edge"/>
          <c:x val="0.74981874669819637"/>
          <c:y val="0.6813526257935707"/>
          <c:w val="0.20187378933863295"/>
          <c:h val="0.23215505754088431"/>
        </c:manualLayout>
      </c:layout>
      <c:overlay val="0"/>
      <c:spPr>
        <a:noFill/>
        <a:ln>
          <a:noFill/>
        </a:ln>
        <a:effectLst/>
      </c:spPr>
      <c:txPr>
        <a:bodyPr rot="0" spcFirstLastPara="1" vertOverflow="ellipsis" vert="horz" wrap="square" anchor="ctr" anchorCtr="1"/>
        <a:lstStyle/>
        <a:p>
          <a:pPr>
            <a:defRPr sz="1600" b="0" i="0" u="none" strike="noStrike" kern="1200" baseline="0">
              <a:ln>
                <a:noFill/>
              </a:ln>
              <a:solidFill>
                <a:schemeClr val="tx1">
                  <a:lumMod val="65000"/>
                  <a:lumOff val="35000"/>
                </a:schemeClr>
              </a:solidFill>
              <a:latin typeface="+mn-lt"/>
              <a:ea typeface="+mn-ea"/>
              <a:cs typeface="+mn-cs"/>
            </a:defRPr>
          </a:pPr>
          <a:endParaRPr lang="de-DE"/>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85480164072001E-2"/>
          <c:y val="4.3995712255433625E-2"/>
          <c:w val="0.93909122027197223"/>
          <c:h val="0.94128367003367008"/>
        </c:manualLayout>
      </c:layout>
      <c:radarChart>
        <c:radarStyle val="filled"/>
        <c:varyColors val="0"/>
        <c:ser>
          <c:idx val="0"/>
          <c:order val="0"/>
          <c:tx>
            <c:strRef>
              <c:f>Auswertung!$C$13</c:f>
              <c:strCache>
                <c:ptCount val="1"/>
                <c:pt idx="0">
                  <c:v>Bewertung</c:v>
                </c:pt>
              </c:strCache>
            </c:strRef>
          </c:tx>
          <c:spPr>
            <a:noFill/>
            <a:ln w="25400">
              <a:solidFill>
                <a:schemeClr val="accent1"/>
              </a:solidFill>
              <a:prstDash val="sysDot"/>
            </a:ln>
            <a:effectLst/>
          </c:spPr>
          <c:cat>
            <c:strRef>
              <c:f>Auswertung!$A$20:$A$23</c:f>
              <c:strCache>
                <c:ptCount val="4"/>
                <c:pt idx="0">
                  <c:v>Hardware</c:v>
                </c:pt>
                <c:pt idx="1">
                  <c:v>Team</c:v>
                </c:pt>
                <c:pt idx="2">
                  <c:v>Einrichtung</c:v>
                </c:pt>
                <c:pt idx="3">
                  <c:v>Markt</c:v>
                </c:pt>
              </c:strCache>
            </c:strRef>
          </c:cat>
          <c:val>
            <c:numRef>
              <c:f>Auswertung!$C$20:$C$23</c:f>
              <c:numCache>
                <c:formatCode>0%</c:formatCode>
                <c:ptCount val="4"/>
                <c:pt idx="0">
                  <c:v>0</c:v>
                </c:pt>
                <c:pt idx="1">
                  <c:v>0</c:v>
                </c:pt>
                <c:pt idx="2">
                  <c:v>0</c:v>
                </c:pt>
                <c:pt idx="3">
                  <c:v>0</c:v>
                </c:pt>
              </c:numCache>
            </c:numRef>
          </c:val>
          <c:extLst>
            <c:ext xmlns:c16="http://schemas.microsoft.com/office/drawing/2014/chart" uri="{C3380CC4-5D6E-409C-BE32-E72D297353CC}">
              <c16:uniqueId val="{00000001-CDE0-CF47-8323-DC2909C8FF95}"/>
            </c:ext>
          </c:extLst>
        </c:ser>
        <c:ser>
          <c:idx val="1"/>
          <c:order val="1"/>
          <c:tx>
            <c:strRef>
              <c:f>Auswertung!$D$44</c:f>
              <c:strCache>
                <c:ptCount val="1"/>
                <c:pt idx="0">
                  <c:v>Toleranzen</c:v>
                </c:pt>
              </c:strCache>
            </c:strRef>
          </c:tx>
          <c:spPr>
            <a:solidFill>
              <a:schemeClr val="accent2">
                <a:alpha val="50196"/>
              </a:schemeClr>
            </a:solidFill>
            <a:ln w="25400">
              <a:solidFill>
                <a:schemeClr val="accent2"/>
              </a:solidFill>
              <a:prstDash val="sysDot"/>
            </a:ln>
            <a:effectLst/>
          </c:spPr>
          <c:cat>
            <c:strRef>
              <c:f>Auswertung!$A$20:$A$23</c:f>
              <c:strCache>
                <c:ptCount val="4"/>
                <c:pt idx="0">
                  <c:v>Hardware</c:v>
                </c:pt>
                <c:pt idx="1">
                  <c:v>Team</c:v>
                </c:pt>
                <c:pt idx="2">
                  <c:v>Einrichtung</c:v>
                </c:pt>
                <c:pt idx="3">
                  <c:v>Markt</c:v>
                </c:pt>
              </c:strCache>
            </c:strRef>
          </c:cat>
          <c:val>
            <c:numRef>
              <c:f>Auswertung!$D$45:$D$48</c:f>
              <c:numCache>
                <c:formatCode>0%</c:formatCode>
                <c:ptCount val="4"/>
                <c:pt idx="0">
                  <c:v>0.6</c:v>
                </c:pt>
                <c:pt idx="1">
                  <c:v>0.6</c:v>
                </c:pt>
                <c:pt idx="2">
                  <c:v>0.6</c:v>
                </c:pt>
                <c:pt idx="3">
                  <c:v>0.6</c:v>
                </c:pt>
              </c:numCache>
            </c:numRef>
          </c:val>
          <c:extLst>
            <c:ext xmlns:c16="http://schemas.microsoft.com/office/drawing/2014/chart" uri="{C3380CC4-5D6E-409C-BE32-E72D297353CC}">
              <c16:uniqueId val="{00000000-CDE0-CF47-8323-DC2909C8FF95}"/>
            </c:ext>
          </c:extLst>
        </c:ser>
        <c:dLbls>
          <c:showLegendKey val="0"/>
          <c:showVal val="0"/>
          <c:showCatName val="0"/>
          <c:showSerName val="0"/>
          <c:showPercent val="0"/>
          <c:showBubbleSize val="0"/>
        </c:dLbls>
        <c:axId val="1580567439"/>
        <c:axId val="1246916447"/>
      </c:radarChart>
      <c:catAx>
        <c:axId val="1580567439"/>
        <c:scaling>
          <c:orientation val="minMax"/>
        </c:scaling>
        <c:delete val="1"/>
        <c:axPos val="b"/>
        <c:numFmt formatCode="General" sourceLinked="1"/>
        <c:majorTickMark val="none"/>
        <c:minorTickMark val="none"/>
        <c:tickLblPos val="nextTo"/>
        <c:crossAx val="1246916447"/>
        <c:crosses val="autoZero"/>
        <c:auto val="1"/>
        <c:lblAlgn val="ctr"/>
        <c:lblOffset val="100"/>
        <c:noMultiLvlLbl val="0"/>
      </c:catAx>
      <c:valAx>
        <c:axId val="1246916447"/>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8056743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
  <cs:dataPoint3D>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3D>
  <cs:dataPointLine>
    <cs:lnRef idx="0">
      <cs:styleClr val="auto"/>
    </cs:lnRef>
    <cs:fillRef idx="0"/>
    <cs:effectRef idx="0"/>
    <cs:fontRef idx="minor">
      <a:schemeClr val="tx1"/>
    </cs:fontRef>
    <cs:spPr>
      <a:ln w="25400" cap="rnd" cmpd="sng" algn="ctr">
        <a:solidFill>
          <a:schemeClr val="phClr"/>
        </a:solidFill>
        <a:prstDash val="sysDot"/>
        <a:round/>
      </a:ln>
    </cs:spPr>
  </cs:dataPointLine>
  <cs:dataPointMarker>
    <cs:lnRef idx="0">
      <cs:styleClr val="auto"/>
    </cs:lnRef>
    <cs:fillRef idx="0">
      <cs:styleClr val="auto"/>
    </cs:fillRef>
    <cs:effectRef idx="0"/>
    <cs:fontRef idx="minor">
      <a:schemeClr val="tx1"/>
    </cs:fontRef>
    <cs:spPr>
      <a:solidFill>
        <a:schemeClr val="phClr"/>
      </a:solidFill>
    </cs:spPr>
  </cs:dataPointMarker>
  <cs:dataPointMarkerLayout symbol="circle" size="6"/>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1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
  <cs:dataPoint3D>
    <cs:lnRef idx="0">
      <cs:styleClr val="auto"/>
    </cs:lnRef>
    <cs:fillRef idx="0">
      <cs:styleClr val="auto"/>
    </cs:fillRef>
    <cs:effectRef idx="0"/>
    <cs:fontRef idx="minor">
      <a:schemeClr val="tx1"/>
    </cs:fontRef>
    <cs:spPr>
      <a:solidFill>
        <a:schemeClr val="phClr">
          <a:alpha val="50196"/>
        </a:schemeClr>
      </a:solidFill>
      <a:ln w="25400">
        <a:solidFill>
          <a:schemeClr val="phClr"/>
        </a:solidFill>
        <a:prstDash val="sysDot"/>
      </a:ln>
    </cs:spPr>
  </cs:dataPoint3D>
  <cs:dataPointLine>
    <cs:lnRef idx="0">
      <cs:styleClr val="auto"/>
    </cs:lnRef>
    <cs:fillRef idx="0"/>
    <cs:effectRef idx="0"/>
    <cs:fontRef idx="minor">
      <a:schemeClr val="tx1"/>
    </cs:fontRef>
    <cs:spPr>
      <a:ln w="25400" cap="rnd" cmpd="sng" algn="ctr">
        <a:solidFill>
          <a:schemeClr val="phClr"/>
        </a:solidFill>
        <a:prstDash val="sysDot"/>
        <a:round/>
      </a:ln>
    </cs:spPr>
  </cs:dataPointLine>
  <cs:dataPointMarker>
    <cs:lnRef idx="0">
      <cs:styleClr val="auto"/>
    </cs:lnRef>
    <cs:fillRef idx="0">
      <cs:styleClr val="auto"/>
    </cs:fillRef>
    <cs:effectRef idx="0"/>
    <cs:fontRef idx="minor">
      <a:schemeClr val="tx1"/>
    </cs:fontRef>
    <cs:spPr>
      <a:solidFill>
        <a:schemeClr val="phClr"/>
      </a:solidFill>
    </cs:spPr>
  </cs:dataPointMarker>
  <cs:dataPointMarkerLayout symbol="circle" size="6"/>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60156</xdr:colOff>
      <xdr:row>2</xdr:row>
      <xdr:rowOff>85224</xdr:rowOff>
    </xdr:from>
    <xdr:to>
      <xdr:col>0</xdr:col>
      <xdr:colOff>4177801</xdr:colOff>
      <xdr:row>10</xdr:row>
      <xdr:rowOff>76200</xdr:rowOff>
    </xdr:to>
    <xdr:pic>
      <xdr:nvPicPr>
        <xdr:cNvPr id="3" name="Grafik 2">
          <a:extLst>
            <a:ext uri="{FF2B5EF4-FFF2-40B4-BE49-F238E27FC236}">
              <a16:creationId xmlns:a16="http://schemas.microsoft.com/office/drawing/2014/main" id="{5CF7A0D3-0F8B-46AF-9AFA-07A2E1E98A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156" y="1475874"/>
          <a:ext cx="4117645" cy="22769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25401</xdr:colOff>
      <xdr:row>0</xdr:row>
      <xdr:rowOff>15874</xdr:rowOff>
    </xdr:from>
    <xdr:to>
      <xdr:col>17</xdr:col>
      <xdr:colOff>1</xdr:colOff>
      <xdr:row>10</xdr:row>
      <xdr:rowOff>787399</xdr:rowOff>
    </xdr:to>
    <xdr:graphicFrame macro="">
      <xdr:nvGraphicFramePr>
        <xdr:cNvPr id="3" name="Diagramm 3">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40</xdr:row>
      <xdr:rowOff>24431</xdr:rowOff>
    </xdr:from>
    <xdr:to>
      <xdr:col>4</xdr:col>
      <xdr:colOff>0</xdr:colOff>
      <xdr:row>50</xdr:row>
      <xdr:rowOff>146539</xdr:rowOff>
    </xdr:to>
    <xdr:graphicFrame macro="">
      <xdr:nvGraphicFramePr>
        <xdr:cNvPr id="4" name="Diagramm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995099-A53E-DF4F-BDBF-EEC0D9FFDF21}" name="Table1" displayName="Table1" ref="A1:N58" totalsRowShown="0" dataDxfId="14">
  <autoFilter ref="A1:N58" xr:uid="{EF995099-A53E-DF4F-BDBF-EEC0D9FFDF21}"/>
  <sortState ref="A2:N58">
    <sortCondition ref="A1:A58"/>
  </sortState>
  <tableColumns count="14">
    <tableColumn id="1" xr3:uid="{44F7A938-4BAD-4246-9C38-B11CC01EA29F}" name="Code" dataDxfId="13"/>
    <tableColumn id="16" xr3:uid="{61D0AB76-2609-FC41-93ED-92AD8B40D8FF}" name="Dimension" dataDxfId="12"/>
    <tableColumn id="17" xr3:uid="{1260573C-2F33-754C-9D83-BC8831C1B1B1}" name="Cluster" dataDxfId="11"/>
    <tableColumn id="18" xr3:uid="{F3B70247-F41D-A347-8E92-98E20E46E01E}" name="Fragecode" dataDxfId="10"/>
    <tableColumn id="2" xr3:uid="{52928808-8B37-3749-91B3-69C4B83A8E8B}" name="Bezeichnung" dataDxfId="9"/>
    <tableColumn id="5" xr3:uid="{5B18848E-8C0C-CE4C-84C4-58842CC6ED13}" name="Fragebogen" dataDxfId="8"/>
    <tableColumn id="6" xr3:uid="{67F4BA40-56CC-854F-86BB-78A21BC7E824}" name="Frage" dataDxfId="7"/>
    <tableColumn id="7" xr3:uid="{E6CA8EA0-EE38-594B-AA65-CDC408C8BEEF}" name="Satz" dataDxfId="6"/>
    <tableColumn id="8" xr3:uid="{4DF87115-E07C-E945-A736-A244C8545E21}" name="Nein (schlecht = 0)" dataDxfId="5"/>
    <tableColumn id="9" xr3:uid="{56E7871F-975E-8547-8DA1-820BA8259E0C}" name="dazwischen (0,5)" dataDxfId="4"/>
    <tableColumn id="10" xr3:uid="{0433325A-A57C-9F48-88A4-71573D1D59FE}" name="Ja (gut = 1)" dataDxfId="3"/>
    <tableColumn id="11" xr3:uid="{D669172D-01AE-CC42-A547-AF5EC701B495}" name="Beschreibung" dataDxfId="2"/>
    <tableColumn id="12" xr3:uid="{4022A8FB-0D42-034D-B44B-0C5D7F65F94E}" name="Gewichtung" dataDxfId="1"/>
    <tableColumn id="14" xr3:uid="{5EEF5491-DFB3-2046-9E7B-13C19765F00A}" name="Gewichtung Ausgründung"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350CC-8239-434E-A800-12FDDDBBA7F4}">
  <dimension ref="A1:A3"/>
  <sheetViews>
    <sheetView tabSelected="1" view="pageBreakPreview" zoomScale="190" zoomScaleNormal="100" zoomScaleSheetLayoutView="190" zoomScalePageLayoutView="80" workbookViewId="0"/>
  </sheetViews>
  <sheetFormatPr baseColWidth="10" defaultColWidth="11.42578125" defaultRowHeight="15" x14ac:dyDescent="0.25"/>
  <cols>
    <col min="1" max="1" width="63.42578125" customWidth="1"/>
  </cols>
  <sheetData>
    <row r="1" spans="1:1" ht="60.75" customHeight="1" x14ac:dyDescent="0.25">
      <c r="A1" s="28" t="s">
        <v>560</v>
      </c>
    </row>
    <row r="2" spans="1:1" ht="48.75" customHeight="1" x14ac:dyDescent="0.25">
      <c r="A2" s="28" t="s">
        <v>556</v>
      </c>
    </row>
    <row r="3" spans="1:1" ht="75" customHeight="1" x14ac:dyDescent="0.25"/>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424DC-CB79-4871-AEA1-FF0EC3EF3079}">
  <dimension ref="A1:BJ69"/>
  <sheetViews>
    <sheetView topLeftCell="A7" zoomScale="80" zoomScaleNormal="80" workbookViewId="0">
      <selection activeCell="V13" sqref="V13"/>
    </sheetView>
  </sheetViews>
  <sheetFormatPr baseColWidth="10" defaultColWidth="11.42578125" defaultRowHeight="15" x14ac:dyDescent="0.25"/>
  <cols>
    <col min="1" max="1" width="8" style="1" bestFit="1" customWidth="1"/>
    <col min="2" max="2" width="28.28515625" style="1" customWidth="1"/>
    <col min="3" max="3" width="31.7109375" style="1" customWidth="1"/>
    <col min="4" max="5" width="28.28515625" style="1" customWidth="1"/>
    <col min="6" max="8" width="20" style="1" customWidth="1"/>
    <col min="9" max="14" width="9" style="1" hidden="1" customWidth="1"/>
    <col min="15" max="16" width="52.140625" style="1" hidden="1" customWidth="1"/>
    <col min="17" max="17" width="96.85546875" style="2" customWidth="1"/>
    <col min="18" max="18" width="7.85546875" style="26" customWidth="1"/>
    <col min="19" max="20" width="5.28515625" style="26" customWidth="1"/>
    <col min="21" max="21" width="5.28515625" style="54" customWidth="1"/>
    <col min="22" max="22" width="23" style="26" customWidth="1"/>
    <col min="23" max="27" width="23" style="1" customWidth="1"/>
    <col min="28" max="33" width="11.42578125" style="1" customWidth="1"/>
    <col min="34" max="16384" width="11.42578125" style="1"/>
  </cols>
  <sheetData>
    <row r="1" spans="1:62" ht="28.5" x14ac:dyDescent="0.25">
      <c r="A1" s="153" t="s">
        <v>0</v>
      </c>
      <c r="B1" s="153"/>
      <c r="C1" s="153"/>
      <c r="D1" s="153"/>
      <c r="E1" s="153"/>
      <c r="F1" s="153"/>
      <c r="G1" s="153"/>
      <c r="H1" s="53"/>
      <c r="I1" s="53"/>
      <c r="J1" s="53"/>
      <c r="K1" s="53"/>
      <c r="L1" s="53"/>
      <c r="M1" s="53"/>
      <c r="N1" s="53"/>
      <c r="O1" s="53"/>
      <c r="P1" s="53"/>
      <c r="Q1" s="53"/>
    </row>
    <row r="2" spans="1:62" ht="66.95" customHeight="1" x14ac:dyDescent="0.25">
      <c r="A2" s="163" t="s">
        <v>1</v>
      </c>
      <c r="B2" s="163"/>
      <c r="C2" s="163"/>
      <c r="D2" s="163"/>
      <c r="E2" s="163"/>
      <c r="F2" s="163"/>
      <c r="G2" s="163"/>
      <c r="H2" s="55"/>
      <c r="I2" s="55"/>
      <c r="J2" s="55"/>
      <c r="K2" s="55"/>
      <c r="L2" s="55"/>
      <c r="M2" s="55"/>
      <c r="N2" s="55"/>
      <c r="O2" s="55"/>
      <c r="P2" s="55"/>
      <c r="Q2" s="55"/>
    </row>
    <row r="3" spans="1:62" ht="45.95" customHeight="1" thickBot="1" x14ac:dyDescent="0.3">
      <c r="A3" s="154" t="s">
        <v>2</v>
      </c>
      <c r="B3" s="154"/>
      <c r="C3" s="154"/>
      <c r="D3" s="155"/>
      <c r="E3" s="156" t="s">
        <v>3</v>
      </c>
      <c r="F3" s="156"/>
      <c r="G3" s="156"/>
      <c r="H3" s="56"/>
      <c r="J3" s="57"/>
      <c r="K3" s="57"/>
      <c r="L3" s="57"/>
      <c r="M3" s="57"/>
      <c r="N3" s="57"/>
      <c r="O3" s="57"/>
      <c r="P3" s="57"/>
      <c r="Q3" s="58"/>
    </row>
    <row r="4" spans="1:62" ht="29.25" thickBot="1" x14ac:dyDescent="0.3">
      <c r="A4" s="157" t="s">
        <v>4</v>
      </c>
      <c r="B4" s="157"/>
      <c r="C4" s="159"/>
      <c r="D4" s="160"/>
      <c r="E4" s="105" t="s">
        <v>5</v>
      </c>
      <c r="F4" s="59" t="s">
        <v>6</v>
      </c>
      <c r="G4" s="60" t="s">
        <v>7</v>
      </c>
      <c r="I4" s="61" t="s">
        <v>6</v>
      </c>
      <c r="J4" s="62" t="s">
        <v>8</v>
      </c>
      <c r="L4" s="63"/>
      <c r="M4" s="63"/>
      <c r="N4" s="63"/>
      <c r="O4" s="63"/>
      <c r="P4" s="63"/>
      <c r="Q4" s="58"/>
    </row>
    <row r="5" spans="1:62" ht="29.25" thickBot="1" x14ac:dyDescent="0.3">
      <c r="A5" s="158" t="s">
        <v>9</v>
      </c>
      <c r="B5" s="158"/>
      <c r="C5" s="161"/>
      <c r="D5" s="162"/>
      <c r="E5" s="106" t="s">
        <v>10</v>
      </c>
      <c r="F5" s="96">
        <v>0.6</v>
      </c>
      <c r="G5" s="97">
        <v>0.7</v>
      </c>
      <c r="I5" s="64">
        <f>F23</f>
        <v>0</v>
      </c>
      <c r="J5" s="52">
        <f>IFERROR((COUNTIFS(M14:M22,"&gt;0",L14:L22,"&gt;0")+COUNTIFS(M27:M33,"&gt;0",L27:L33,"&gt;0")+COUNTIFS(M38:M43,"&gt;0",L38:L43,"&gt;0")+COUNTIFS(M48:M53,"&gt;0",L48:L53,"&gt;0"))/(COUNTIFS(F14:F22,"&lt;&gt;nicht relevant",L14:L22,"&gt;0")+COUNTIFS(F27:F33,"&lt;&gt;nicht relevant",L27:L33,"&gt;0")+COUNTIFS(F38:F43,"&lt;&gt;nicht relevant",L38:L43,"&gt;0")+COUNTIFS(F48:F53,"&lt;&gt;nicht relevant",L48:L53,"&gt;0")),"Bewertung nicht möglich")</f>
        <v>0</v>
      </c>
      <c r="L5" s="63"/>
      <c r="M5" s="63"/>
      <c r="N5" s="63"/>
      <c r="O5" s="63"/>
      <c r="P5" s="63"/>
      <c r="U5" s="65"/>
      <c r="V5" s="65"/>
      <c r="W5" s="66"/>
      <c r="X5" s="66"/>
      <c r="Y5" s="66"/>
      <c r="Z5" s="66"/>
      <c r="AA5" s="66"/>
      <c r="AB5" s="66"/>
      <c r="AC5" s="66"/>
    </row>
    <row r="6" spans="1:62" ht="30" customHeight="1" x14ac:dyDescent="0.25">
      <c r="A6" s="164" t="s">
        <v>11</v>
      </c>
      <c r="B6" s="165"/>
      <c r="C6" s="168"/>
      <c r="D6" s="169"/>
      <c r="E6" s="107" t="s">
        <v>12</v>
      </c>
      <c r="F6" s="98">
        <v>0.6</v>
      </c>
      <c r="G6" s="97">
        <v>0.7</v>
      </c>
      <c r="I6" s="67">
        <f>F34</f>
        <v>0</v>
      </c>
      <c r="K6" s="63"/>
      <c r="M6" s="63"/>
      <c r="N6" s="63"/>
      <c r="O6" s="63"/>
      <c r="P6" s="63"/>
      <c r="U6" s="65"/>
      <c r="V6" s="65"/>
      <c r="W6" s="66"/>
      <c r="X6" s="66"/>
      <c r="Y6" s="66"/>
      <c r="Z6" s="66"/>
      <c r="AA6" s="66"/>
      <c r="AB6" s="66"/>
      <c r="AC6" s="66"/>
    </row>
    <row r="7" spans="1:62" ht="30" customHeight="1" x14ac:dyDescent="0.25">
      <c r="A7" s="166"/>
      <c r="B7" s="158"/>
      <c r="C7" s="170"/>
      <c r="D7" s="171"/>
      <c r="E7" s="108" t="s">
        <v>13</v>
      </c>
      <c r="F7" s="98">
        <v>0.6</v>
      </c>
      <c r="G7" s="97">
        <v>0.7</v>
      </c>
      <c r="I7" s="67">
        <f>F44</f>
        <v>0</v>
      </c>
      <c r="K7" s="63"/>
      <c r="M7" s="63"/>
      <c r="N7" s="63"/>
      <c r="O7" s="63"/>
      <c r="P7" s="63"/>
      <c r="U7" s="65"/>
      <c r="V7" s="65"/>
      <c r="W7" s="66"/>
      <c r="X7" s="66"/>
      <c r="Y7" s="66"/>
      <c r="Z7" s="66"/>
      <c r="AA7" s="66"/>
      <c r="AB7" s="66"/>
      <c r="AC7" s="66"/>
    </row>
    <row r="8" spans="1:62" ht="30" customHeight="1" x14ac:dyDescent="0.25">
      <c r="A8" s="166"/>
      <c r="B8" s="158"/>
      <c r="C8" s="170"/>
      <c r="D8" s="171"/>
      <c r="E8" s="109" t="s">
        <v>14</v>
      </c>
      <c r="F8" s="98">
        <v>0.6</v>
      </c>
      <c r="G8" s="97">
        <v>0.7</v>
      </c>
      <c r="I8" s="67">
        <f>F54</f>
        <v>0</v>
      </c>
      <c r="K8" s="63"/>
      <c r="L8" s="63"/>
      <c r="M8" s="63"/>
      <c r="N8" s="63"/>
      <c r="O8" s="63"/>
      <c r="P8" s="63"/>
      <c r="U8" s="68"/>
      <c r="V8" s="68"/>
      <c r="W8" s="69"/>
      <c r="X8" s="69"/>
      <c r="Y8" s="69"/>
      <c r="Z8" s="69"/>
      <c r="AA8" s="69"/>
      <c r="AB8" s="69"/>
      <c r="AC8" s="69"/>
    </row>
    <row r="9" spans="1:62" ht="30" customHeight="1" thickBot="1" x14ac:dyDescent="0.3">
      <c r="A9" s="167"/>
      <c r="B9" s="157"/>
      <c r="C9" s="172"/>
      <c r="D9" s="173"/>
      <c r="E9" s="110" t="s">
        <v>15</v>
      </c>
      <c r="F9" s="99">
        <v>0.6</v>
      </c>
      <c r="G9" s="100">
        <v>0.7</v>
      </c>
      <c r="I9" s="70">
        <f>IFERROR(SUM(Bewertungsbogen!M:M)/SUM(Bewertungsbogen!L:L),0)</f>
        <v>0</v>
      </c>
      <c r="K9" s="27"/>
      <c r="L9" s="27"/>
      <c r="M9" s="27"/>
      <c r="N9" s="27"/>
      <c r="O9" s="27"/>
      <c r="P9" s="27"/>
      <c r="U9" s="68"/>
      <c r="V9" s="68"/>
      <c r="W9" s="69"/>
      <c r="X9" s="69"/>
      <c r="Y9" s="69"/>
      <c r="Z9" s="69"/>
      <c r="AA9" s="69"/>
      <c r="AB9" s="69"/>
      <c r="AC9" s="69"/>
    </row>
    <row r="10" spans="1:62" ht="78.75" x14ac:dyDescent="0.25">
      <c r="A10" s="174" t="s">
        <v>16</v>
      </c>
      <c r="B10" s="174"/>
      <c r="C10" s="174"/>
      <c r="D10" s="174"/>
      <c r="E10" s="71"/>
      <c r="F10" s="72" t="s">
        <v>17</v>
      </c>
      <c r="G10" s="72" t="s">
        <v>18</v>
      </c>
      <c r="J10" s="27"/>
      <c r="K10" s="27"/>
      <c r="L10" s="27"/>
      <c r="M10" s="27"/>
      <c r="N10" s="27"/>
      <c r="O10" s="27"/>
      <c r="P10" s="27"/>
      <c r="Q10" s="54"/>
      <c r="U10" s="68"/>
      <c r="V10" s="68"/>
      <c r="W10" s="69"/>
      <c r="X10" s="69"/>
      <c r="Y10" s="69"/>
      <c r="Z10" s="69"/>
      <c r="AA10" s="69"/>
      <c r="AB10" s="69"/>
      <c r="AC10" s="69"/>
    </row>
    <row r="11" spans="1:62" ht="64.5" customHeight="1" thickBot="1" x14ac:dyDescent="0.3">
      <c r="A11" s="154" t="s">
        <v>19</v>
      </c>
      <c r="B11" s="154"/>
      <c r="C11" s="154"/>
      <c r="D11" s="154"/>
      <c r="E11" s="154"/>
      <c r="F11" s="154"/>
      <c r="G11" s="154"/>
      <c r="H11" s="73"/>
      <c r="I11" s="73"/>
      <c r="J11" s="73"/>
      <c r="K11" s="73"/>
      <c r="L11" s="73"/>
      <c r="M11" s="73"/>
      <c r="N11" s="73"/>
      <c r="O11" s="73"/>
      <c r="P11" s="73"/>
      <c r="Q11" s="73"/>
      <c r="R11" s="62"/>
      <c r="S11" s="62"/>
      <c r="T11" s="54"/>
      <c r="V11" s="54"/>
      <c r="W11" s="2"/>
      <c r="X11" s="2"/>
      <c r="Y11" s="2"/>
      <c r="Z11" s="2"/>
      <c r="AA11" s="2"/>
      <c r="AB11" s="2"/>
      <c r="AC11" s="2"/>
      <c r="AD11" s="2"/>
      <c r="AE11" s="2"/>
      <c r="AF11" s="2"/>
      <c r="AG11" s="2"/>
    </row>
    <row r="12" spans="1:62" ht="27" thickBot="1" x14ac:dyDescent="0.3">
      <c r="A12" s="181" t="s">
        <v>20</v>
      </c>
      <c r="B12" s="182"/>
      <c r="C12" s="182"/>
      <c r="D12" s="182"/>
      <c r="E12" s="182"/>
      <c r="F12" s="182"/>
      <c r="G12" s="182"/>
      <c r="H12" s="182"/>
      <c r="I12" s="182"/>
      <c r="J12" s="182"/>
      <c r="K12" s="182"/>
      <c r="L12" s="182"/>
      <c r="M12" s="182"/>
      <c r="N12" s="182"/>
      <c r="O12" s="182"/>
      <c r="P12" s="182"/>
      <c r="Q12" s="182"/>
      <c r="R12" s="54"/>
      <c r="S12" s="54"/>
      <c r="V12" s="74"/>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row>
    <row r="13" spans="1:62" ht="60.75" thickBot="1" x14ac:dyDescent="0.3">
      <c r="A13" s="111" t="s">
        <v>21</v>
      </c>
      <c r="B13" s="112" t="s">
        <v>22</v>
      </c>
      <c r="C13" s="112" t="s">
        <v>23</v>
      </c>
      <c r="D13" s="112" t="s">
        <v>24</v>
      </c>
      <c r="E13" s="112" t="s">
        <v>25</v>
      </c>
      <c r="F13" s="113" t="s">
        <v>26</v>
      </c>
      <c r="G13" s="113" t="s">
        <v>27</v>
      </c>
      <c r="H13" s="113" t="s">
        <v>28</v>
      </c>
      <c r="I13" s="114" t="s">
        <v>29</v>
      </c>
      <c r="J13" s="114" t="s">
        <v>30</v>
      </c>
      <c r="K13" s="114" t="s">
        <v>31</v>
      </c>
      <c r="L13" s="114" t="s">
        <v>32</v>
      </c>
      <c r="M13" s="114" t="s">
        <v>33</v>
      </c>
      <c r="N13" s="114" t="s">
        <v>34</v>
      </c>
      <c r="O13" s="114" t="s">
        <v>35</v>
      </c>
      <c r="P13" s="114" t="s">
        <v>36</v>
      </c>
      <c r="Q13" s="112" t="s">
        <v>37</v>
      </c>
      <c r="U13" s="26"/>
      <c r="V13" s="54"/>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row>
    <row r="14" spans="1:62" ht="69.75" customHeight="1" thickBot="1" x14ac:dyDescent="0.3">
      <c r="A14" s="75" t="s">
        <v>38</v>
      </c>
      <c r="B14" s="76" t="str">
        <f>VLOOKUP($A14,Fragenkatalog!$A$1:$L$61,MATCH(B$13,Fragenkatalog!$1:$1,0),FALSE)</f>
        <v>Ist die Hardware eine neuartige Erfindung?</v>
      </c>
      <c r="C14" s="77" t="str">
        <f>_xlfn.CONCAT("Nein: ",VLOOKUP($A14,Fragenkatalog!$A$1:$L$61,MATCH(C$13,Fragenkatalog!$1:$1,0),FALSE))</f>
        <v>Nein: Die Hardware existiert bereits in anderweitiger Form.</v>
      </c>
      <c r="D14" s="77" t="str">
        <f>VLOOKUP($A14,Fragenkatalog!$A$1:$L$61,MATCH(D$13,Fragenkatalog!$1:$1,0),FALSE)</f>
        <v>Die Hardware besitzt teilweise neue Funktionen.</v>
      </c>
      <c r="E14" s="77" t="str">
        <f>_xlfn.CONCAT("Ja: ",VLOOKUP($A14,Fragenkatalog!$A$1:$L$61,MATCH(E$13,Fragenkatalog!$1:$1,0),FALSE))</f>
        <v>Ja: Die Hardware oder Teile davon ist/sind eine neuartige Entwicklung.</v>
      </c>
      <c r="F14" s="81"/>
      <c r="G14" s="82"/>
      <c r="H14" s="82" t="s">
        <v>39</v>
      </c>
      <c r="I14" s="2">
        <f>IF(F14=LookupTabellen!$A$7,0,IFERROR(VLOOKUP(A14,Fragenkatalog!A:N,13,FALSE),""))</f>
        <v>1</v>
      </c>
      <c r="J14" s="2">
        <f>IF(OR(F14="",AND(G14="",F14&lt;&gt;LookupTabellen!$A$6,F14&lt;&gt;LookupTabellen!$A$7)),0,IFERROR(VLOOKUP(F14,LookupTabellen!$A$3:$B$7,2,FALSE)*VLOOKUP(A14,Fragenkatalog!A:N,13,FALSE),""))</f>
        <v>0</v>
      </c>
      <c r="K14" s="2">
        <f>IF(OR(F14="",AND(G14="",F14&lt;&gt;LookupTabellen!$A$6,F14&lt;&gt;LookupTabellen!$A$7)),0,IFERROR(VLOOKUP(F14,LookupTabellen!$A$3:$C$7,3,FALSE)*VLOOKUP(G14,LookupTabellen!$D$3:$F$5,3,FALSE)*VLOOKUP(A14,Fragenkatalog!A:N,13,FALSE),""))</f>
        <v>0</v>
      </c>
      <c r="L14" s="2">
        <f>IF(F14=LookupTabellen!$A$6,0,IFERROR(ABS(VLOOKUP(A14,Fragenkatalog!A:N,14,FALSE)),""))</f>
        <v>0.3</v>
      </c>
      <c r="M14" s="2" t="str">
        <f>IFERROR((IF(VLOOKUP(A14,Fragenkatalog!A:N,14,FALSE)&lt;0,-4,0)+VLOOKUP(F14,LookupTabellen!$A$3:$B$7,2,FALSE))*VLOOKUP(A14,Fragenkatalog!A:N,14,FALSE),"")</f>
        <v/>
      </c>
      <c r="N14" s="2">
        <f>IFERROR(VLOOKUP(G14,LookupTabellen!$D$3:$E$5,2,FALSE)*AND(H14&lt;&gt;"Antwort auswählen",F14&lt;&gt;LookupTabellen!$A$6,F14&lt;&gt;LookupTabellen!$A$7),0)</f>
        <v>0</v>
      </c>
      <c r="O14" s="1" t="str">
        <f>IF(F14=LookupTabellen!$A$3,IF(VLOOKUP($A14,Fragenkatalog!$A$1:$L$61,MATCH($C$13,Fragenkatalog!$1:$1,0),FALSE)=0,"",CONCATENATE(VLOOKUP(H14,LookupTabellen!$H$2:$I$3,2,FALSE),VLOOKUP($A14,Fragenkatalog!$A$1:$L$61,MATCH($C$13,Fragenkatalog!$1:$1,0),FALSE))),"")</f>
        <v/>
      </c>
      <c r="P14" s="2" t="str">
        <f>IF(O14="",IF(OR(F14=LookupTabellen!$A$6,F14="",G14=LookupTabellen!$D$3),IF(VLOOKUP($A14,Fragenkatalog!$A$1:$L$61,MATCH("Frage",Fragenkatalog!$1:$1,0),FALSE)=0,"",CONCATENATE(VLOOKUP(H14,LookupTabellen!$H$2:$I$3,2,FALSE),VLOOKUP($A14,Fragenkatalog!$A$1:$L$61,MATCH("Frage",Fragenkatalog!$1:$1,0),FALSE))),""),"")</f>
        <v>Ist die Hardware eine neuartige Erfindung?</v>
      </c>
      <c r="Q14" s="78" t="str">
        <f>VLOOKUP($A14,Fragenkatalog!$A$1:$L$61,MATCH(Q$13,Fragenkatalog!$1:$1,0),FALSE)</f>
        <v>Hier wird abgefragt, wie neuartig und einzigartig eine Hardware ist: Existiert bereits vergleichbare Hardware oder ist sie eine neuartige Lösung für ein bestehendes Problem. Bei NEUHEIT geht es sowohl um Hardware aus der eigenen Einrichtung, als auch um Hardware, die von Dritten entwickelt wurde.)</v>
      </c>
      <c r="U14" s="26"/>
      <c r="V14" s="54"/>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row>
    <row r="15" spans="1:62" ht="69.75" customHeight="1" thickBot="1" x14ac:dyDescent="0.3">
      <c r="A15" s="115" t="s">
        <v>40</v>
      </c>
      <c r="B15" s="116" t="str">
        <f>VLOOKUP($A15,Fragenkatalog!$A$1:$L$61,MATCH(B$13,Fragenkatalog!$1:$1,0),FALSE)</f>
        <v>Ist die Hardware in Verwendung?</v>
      </c>
      <c r="C15" s="117" t="str">
        <f>_xlfn.CONCAT("Nein: ",VLOOKUP($A15,Fragenkatalog!$A$1:$L$61,MATCH(C$13,Fragenkatalog!$1:$1,0),FALSE))</f>
        <v>Nein: Es existiert maximal ein Proof of Concept (bis TRL 3).</v>
      </c>
      <c r="D15" s="117" t="str">
        <f>VLOOKUP($A15,Fragenkatalog!$A$1:$L$61,MATCH(D$13,Fragenkatalog!$1:$1,0),FALSE)</f>
        <v>Es existiert bereits ein Labor- oder Funktionsmus-ter/Prototyp (TRL 4-6).</v>
      </c>
      <c r="E15" s="117" t="str">
        <f>_xlfn.CONCAT("Ja: ",VLOOKUP($A15,Fragenkatalog!$A$1:$L$61,MATCH(E$13,Fragenkatalog!$1:$1,0),FALSE))</f>
        <v>Ja: Die Hardware ist bereits im realen Einsatz (ab TRL 7).</v>
      </c>
      <c r="F15" s="83"/>
      <c r="G15" s="84"/>
      <c r="H15" s="84" t="s">
        <v>39</v>
      </c>
      <c r="I15" s="2">
        <f>IF(F15=LookupTabellen!$A$7,0,IFERROR(VLOOKUP(A15,Fragenkatalog!A:N,13,FALSE),""))</f>
        <v>1</v>
      </c>
      <c r="J15" s="2">
        <f>IF(OR(F15="",AND(G15="",F15&lt;&gt;LookupTabellen!$A$6,F15&lt;&gt;LookupTabellen!$A$7)),0,IFERROR(VLOOKUP(F15,LookupTabellen!$A$3:$B$7,2,FALSE)*VLOOKUP(A15,Fragenkatalog!A:N,13,FALSE),""))</f>
        <v>0</v>
      </c>
      <c r="K15" s="2">
        <f>IF(OR(F15="",AND(G15="",F15&lt;&gt;LookupTabellen!$A$6,F15&lt;&gt;LookupTabellen!$A$7)),0,IFERROR(VLOOKUP(F15,LookupTabellen!$A$3:$C$7,3,FALSE)*VLOOKUP(G15,LookupTabellen!$D$3:$F$5,3,FALSE)*VLOOKUP(A15,Fragenkatalog!A:N,13,FALSE),""))</f>
        <v>0</v>
      </c>
      <c r="L15" s="2">
        <f>IF(F15=LookupTabellen!$A$6,0,IFERROR(ABS(VLOOKUP(A15,Fragenkatalog!A:N,14,FALSE)),""))</f>
        <v>0.75</v>
      </c>
      <c r="M15" s="2" t="str">
        <f>IFERROR((IF(VLOOKUP(A15,Fragenkatalog!A:N,14,FALSE)&lt;0,-4,0)+VLOOKUP(F15,LookupTabellen!$A$3:$B$7,2,FALSE))*VLOOKUP(A15,Fragenkatalog!A:N,14,FALSE),"")</f>
        <v/>
      </c>
      <c r="N15" s="2">
        <f>IFERROR(VLOOKUP(G15,LookupTabellen!$D$3:$E$5,2,FALSE)*AND(H15&lt;&gt;"Antwort auswählen",F15&lt;&gt;LookupTabellen!$A$6,F15&lt;&gt;LookupTabellen!$A$7),0)</f>
        <v>0</v>
      </c>
      <c r="O15" s="1" t="str">
        <f>IF(F15=LookupTabellen!$A$3,IF(VLOOKUP($A15,Fragenkatalog!$A$1:$L$61,MATCH($C$13,Fragenkatalog!$1:$1,0),FALSE)=0,"",CONCATENATE(VLOOKUP(H15,LookupTabellen!$H$2:$I$3,2,FALSE),VLOOKUP($A15,Fragenkatalog!$A$1:$L$61,MATCH($C$13,Fragenkatalog!$1:$1,0),FALSE))),"")</f>
        <v/>
      </c>
      <c r="P15" s="2" t="str">
        <f>IF(O15="",IF(OR(F15=LookupTabellen!$A$6,F15="",G15=LookupTabellen!$D$3),IF(VLOOKUP($A15,Fragenkatalog!$A$1:$L$61,MATCH("Frage",Fragenkatalog!$1:$1,0),FALSE)=0,"",CONCATENATE(VLOOKUP(H15,LookupTabellen!$H$2:$I$3,2,FALSE),VLOOKUP($A15,Fragenkatalog!$A$1:$L$61,MATCH("Frage",Fragenkatalog!$1:$1,0),FALSE))),""),"")</f>
        <v>Ist die Hardware in Verwendung?</v>
      </c>
      <c r="Q15" s="117" t="str">
        <f>VLOOKUP($A15,Fragenkatalog!$A$1:$L$61,MATCH(Q$13,Fragenkatalog!$1:$1,0),FALSE)</f>
        <v>Die Einteilung orientiert sich am Technology Readiness-Level (TRL). Ist die Hardware bereits im Einsatz (TRL7), dann kann die Frage mit „Ja“ beantwortet werden. Handelt es sich dagegen um ein Labor- oder Funkti-onsmuster/Prototypen in relevanter Einsatzumgebung, (TRL 4-6) kann die mittlere Antwort gewählt werden. Besteht bisher nur ein Proof of Con-cept (bis TRL 3), dann ist die Frage zu verneinen.</v>
      </c>
      <c r="U15" s="26"/>
      <c r="V15" s="54"/>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row>
    <row r="16" spans="1:62" ht="69.75" customHeight="1" thickBot="1" x14ac:dyDescent="0.3">
      <c r="A16" s="75" t="s">
        <v>41</v>
      </c>
      <c r="B16" s="76" t="str">
        <f>VLOOKUP($A16,Fragenkatalog!$A$1:$L$61,MATCH(B$13,Fragenkatalog!$1:$1,0),FALSE)</f>
        <v>Ist eine verwertbare Entwicklung der Hardware machbar?</v>
      </c>
      <c r="C16" s="77" t="str">
        <f>_xlfn.CONCAT("Nein: ",VLOOKUP($A16,Fragenkatalog!$A$1:$L$61,MATCH(C$13,Fragenkatalog!$1:$1,0),FALSE))</f>
        <v>Nein: Die Wahrscheinlichkeit für einen Abbruch der Entwicklung und damit Verwertung ist hoch.</v>
      </c>
      <c r="D16" s="77" t="str">
        <f>VLOOKUP($A16,Fragenkatalog!$A$1:$L$61,MATCH(D$13,Fragenkatalog!$1:$1,0),FALSE)</f>
        <v>Es besteht die Möglichkeit, dass die Entwicklung abgebrochen wird. Das Risiko hierfür ist jedoch gering.</v>
      </c>
      <c r="E16" s="77" t="str">
        <f>_xlfn.CONCAT("Ja: ",VLOOKUP($A16,Fragenkatalog!$A$1:$L$61,MATCH(E$13,Fragenkatalog!$1:$1,0),FALSE))</f>
        <v>Ja: Ein Abschluss der Entwicklung und damit einer erfolgreichen Verwertung ist sehr wahrscheinlich.</v>
      </c>
      <c r="F16" s="81"/>
      <c r="G16" s="82"/>
      <c r="H16" s="82" t="s">
        <v>39</v>
      </c>
      <c r="I16" s="2">
        <f>IF(F16=LookupTabellen!$A$7,0,IFERROR(VLOOKUP(A16,Fragenkatalog!A:N,13,FALSE),""))</f>
        <v>1</v>
      </c>
      <c r="J16" s="2">
        <f>IF(OR(F16="",AND(G16="",F16&lt;&gt;LookupTabellen!$A$6,F16&lt;&gt;LookupTabellen!$A$7)),0,IFERROR(VLOOKUP(F16,LookupTabellen!$A$3:$B$7,2,FALSE)*VLOOKUP(A16,Fragenkatalog!A:N,13,FALSE),""))</f>
        <v>0</v>
      </c>
      <c r="K16" s="2">
        <f>IF(OR(F16="",AND(G16="",F16&lt;&gt;LookupTabellen!$A$6,F16&lt;&gt;LookupTabellen!$A$7)),0,IFERROR(VLOOKUP(F16,LookupTabellen!$A$3:$C$7,3,FALSE)*VLOOKUP(G16,LookupTabellen!$D$3:$F$5,3,FALSE)*VLOOKUP(A16,Fragenkatalog!A:N,13,FALSE),""))</f>
        <v>0</v>
      </c>
      <c r="L16" s="2">
        <f>IF(F16=LookupTabellen!$A$6,0,IFERROR(ABS(VLOOKUP(A16,Fragenkatalog!A:N,14,FALSE)),""))</f>
        <v>0</v>
      </c>
      <c r="M16" s="2" t="str">
        <f>IFERROR((IF(VLOOKUP(A16,Fragenkatalog!A:N,14,FALSE)&lt;0,-4,0)+VLOOKUP(F16,LookupTabellen!$A$3:$B$7,2,FALSE))*VLOOKUP(A16,Fragenkatalog!A:N,14,FALSE),"")</f>
        <v/>
      </c>
      <c r="N16" s="2">
        <f>IFERROR(VLOOKUP(G16,LookupTabellen!$D$3:$E$5,2,FALSE)*AND(H16&lt;&gt;"Antwort auswählen",F16&lt;&gt;LookupTabellen!$A$6,F16&lt;&gt;LookupTabellen!$A$7),0)</f>
        <v>0</v>
      </c>
      <c r="O16" s="1" t="str">
        <f>IF(F16=LookupTabellen!$A$3,IF(VLOOKUP($A16,Fragenkatalog!$A$1:$L$61,MATCH($C$13,Fragenkatalog!$1:$1,0),FALSE)=0,"",CONCATENATE(VLOOKUP(H16,LookupTabellen!$H$2:$I$3,2,FALSE),VLOOKUP($A16,Fragenkatalog!$A$1:$L$61,MATCH($C$13,Fragenkatalog!$1:$1,0),FALSE))),"")</f>
        <v/>
      </c>
      <c r="P16" s="2" t="str">
        <f>IF(O16="",IF(OR(F16=LookupTabellen!$A$6,F16="",G16=LookupTabellen!$D$3),IF(VLOOKUP($A16,Fragenkatalog!$A$1:$L$61,MATCH("Frage",Fragenkatalog!$1:$1,0),FALSE)=0,"",CONCATENATE(VLOOKUP(H16,LookupTabellen!$H$2:$I$3,2,FALSE),VLOOKUP($A16,Fragenkatalog!$A$1:$L$61,MATCH("Frage",Fragenkatalog!$1:$1,0),FALSE))),""),"")</f>
        <v>Ist eine verwertbare Entwicklung der Hardware machbar?</v>
      </c>
      <c r="Q16" s="78" t="str">
        <f>VLOOKUP($A16,Fragenkatalog!$A$1:$L$61,MATCH(Q$13,Fragenkatalog!$1:$1,0),FALSE)</f>
        <v>Für die Verwertung der Hardware sollte diese soweit wie möglich fertiggestellt sein. Verschiedene Risiken können jedoch dafür sorgen, dass es zu einem Abbruch der Entwicklung und der Verwertung kommt. Schätzen sie ein, ob die Hardware zu einem fertigen Produkt entwickelt werden kann.</v>
      </c>
      <c r="U16" s="26"/>
      <c r="V16" s="54"/>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row>
    <row r="17" spans="1:62" ht="69.75" customHeight="1" thickBot="1" x14ac:dyDescent="0.3">
      <c r="A17" s="115" t="s">
        <v>42</v>
      </c>
      <c r="B17" s="116" t="str">
        <f>VLOOKUP($A17,Fragenkatalog!$A$1:$L$61,MATCH(B$13,Fragenkatalog!$1:$1,0),FALSE)</f>
        <v>Ist die Hardware ausreichend dokumentiert?</v>
      </c>
      <c r="C17" s="117" t="str">
        <f>_xlfn.CONCAT("Nein: ",VLOOKUP($A17,Fragenkatalog!$A$1:$L$61,MATCH(C$13,Fragenkatalog!$1:$1,0),FALSE))</f>
        <v>Nein: Die Hardware ist vollständig undokumentiert.</v>
      </c>
      <c r="D17" s="117" t="str">
        <f>VLOOKUP($A17,Fragenkatalog!$A$1:$L$61,MATCH(D$13,Fragenkatalog!$1:$1,0),FALSE)</f>
        <v>Die Dokumentation ist noch unzureichend.</v>
      </c>
      <c r="E17" s="117" t="str">
        <f>_xlfn.CONCAT("Ja: ",VLOOKUP($A17,Fragenkatalog!$A$1:$L$61,MATCH(E$13,Fragenkatalog!$1:$1,0),FALSE))</f>
        <v>Ja: Die Dokumentation ist vollständig.</v>
      </c>
      <c r="F17" s="83"/>
      <c r="G17" s="84"/>
      <c r="H17" s="84" t="s">
        <v>39</v>
      </c>
      <c r="I17" s="2">
        <f>IF(F17=LookupTabellen!$A$7,0,IFERROR(VLOOKUP(A17,Fragenkatalog!A:N,13,FALSE),""))</f>
        <v>1</v>
      </c>
      <c r="J17" s="2">
        <f>IF(OR(F17="",AND(G17="",F17&lt;&gt;LookupTabellen!$A$6,F17&lt;&gt;LookupTabellen!$A$7)),0,IFERROR(VLOOKUP(F17,LookupTabellen!$A$3:$B$7,2,FALSE)*VLOOKUP(A17,Fragenkatalog!A:N,13,FALSE),""))</f>
        <v>0</v>
      </c>
      <c r="K17" s="2">
        <f>IF(OR(F17="",AND(G17="",F17&lt;&gt;LookupTabellen!$A$6,F17&lt;&gt;LookupTabellen!$A$7)),0,IFERROR(VLOOKUP(F17,LookupTabellen!$A$3:$C$7,3,FALSE)*VLOOKUP(G17,LookupTabellen!$D$3:$F$5,3,FALSE)*VLOOKUP(A17,Fragenkatalog!A:N,13,FALSE),""))</f>
        <v>0</v>
      </c>
      <c r="L17" s="2">
        <f>IF(F17=LookupTabellen!$A$6,0,IFERROR(ABS(VLOOKUP(A17,Fragenkatalog!A:N,14,FALSE)),""))</f>
        <v>0.8</v>
      </c>
      <c r="M17" s="2" t="str">
        <f>IFERROR((IF(VLOOKUP(A17,Fragenkatalog!A:N,14,FALSE)&lt;0,-4,0)+VLOOKUP(F17,LookupTabellen!$A$3:$B$7,2,FALSE))*VLOOKUP(A17,Fragenkatalog!A:N,14,FALSE),"")</f>
        <v/>
      </c>
      <c r="N17" s="2">
        <f>IFERROR(VLOOKUP(G17,LookupTabellen!$D$3:$E$5,2,FALSE)*AND(H17&lt;&gt;"Antwort auswählen",F17&lt;&gt;LookupTabellen!$A$6,F17&lt;&gt;LookupTabellen!$A$7),0)</f>
        <v>0</v>
      </c>
      <c r="O17" s="1" t="str">
        <f>IF(F17=LookupTabellen!$A$3,IF(VLOOKUP($A17,Fragenkatalog!$A$1:$L$61,MATCH($C$13,Fragenkatalog!$1:$1,0),FALSE)=0,"",CONCATENATE(VLOOKUP(H17,LookupTabellen!$H$2:$I$3,2,FALSE),VLOOKUP($A17,Fragenkatalog!$A$1:$L$61,MATCH($C$13,Fragenkatalog!$1:$1,0),FALSE))),"")</f>
        <v/>
      </c>
      <c r="P17" s="2" t="str">
        <f>IF(O17="",IF(OR(F17=LookupTabellen!$A$6,F17="",G17=LookupTabellen!$D$3),IF(VLOOKUP($A17,Fragenkatalog!$A$1:$L$61,MATCH("Frage",Fragenkatalog!$1:$1,0),FALSE)=0,"",CONCATENATE(VLOOKUP(H17,LookupTabellen!$H$2:$I$3,2,FALSE),VLOOKUP($A17,Fragenkatalog!$A$1:$L$61,MATCH("Frage",Fragenkatalog!$1:$1,0),FALSE))),""),"")</f>
        <v>Ist die Hardware ausreichend dokumentiert?</v>
      </c>
      <c r="Q17" s="117" t="str">
        <f>VLOOKUP($A17,Fragenkatalog!$A$1:$L$61,MATCH(Q$13,Fragenkatalog!$1:$1,0),FALSE)</f>
        <v>Eine ordentliche Dokumentation der Teileliste, des Aufbaus usw. ist essenziell dafür, dass man die Hardware auch in Zukunft  noch warten und weiterentwickeln kann.</v>
      </c>
      <c r="U17" s="26"/>
      <c r="V17" s="54"/>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row>
    <row r="18" spans="1:62" ht="69.75" customHeight="1" thickBot="1" x14ac:dyDescent="0.3">
      <c r="A18" s="75" t="s">
        <v>43</v>
      </c>
      <c r="B18" s="76" t="str">
        <f>VLOOKUP($A18,Fragenkatalog!$A$1:$L$61,MATCH(B$13,Fragenkatalog!$1:$1,0),FALSE)</f>
        <v>Können alle externen Komponenten für die Verwendung der Hardware eingesetzt werden?</v>
      </c>
      <c r="C18" s="77" t="str">
        <f>_xlfn.CONCAT("Nein: ",VLOOKUP($A18,Fragenkatalog!$A$1:$L$61,MATCH(C$13,Fragenkatalog!$1:$1,0),FALSE))</f>
        <v>Nein: Es gibt Probleme bei der Verwendung externer Komponenten.</v>
      </c>
      <c r="D18" s="77" t="str">
        <f>VLOOKUP($A18,Fragenkatalog!$A$1:$L$61,MATCH(D$13,Fragenkatalog!$1:$1,0),FALSE)</f>
        <v>Bestehende Probleme können geklärt werden.</v>
      </c>
      <c r="E18" s="77" t="str">
        <f>_xlfn.CONCAT("Ja: ",VLOOKUP($A18,Fragenkatalog!$A$1:$L$61,MATCH(E$13,Fragenkatalog!$1:$1,0),FALSE))</f>
        <v>Ja: Die Verwendung externer Komponenten ist geklärt.</v>
      </c>
      <c r="F18" s="81"/>
      <c r="G18" s="82"/>
      <c r="H18" s="82" t="s">
        <v>39</v>
      </c>
      <c r="I18" s="2">
        <f>IF(F18=LookupTabellen!$A$7,0,IFERROR(VLOOKUP(A18,Fragenkatalog!A:N,13,FALSE),""))</f>
        <v>1</v>
      </c>
      <c r="J18" s="2">
        <f>IF(OR(F18="",AND(G18="",F18&lt;&gt;LookupTabellen!$A$6,F18&lt;&gt;LookupTabellen!$A$7)),0,IFERROR(VLOOKUP(F18,LookupTabellen!$A$3:$B$7,2,FALSE)*VLOOKUP(A18,Fragenkatalog!A:N,13,FALSE),""))</f>
        <v>0</v>
      </c>
      <c r="K18" s="2">
        <f>IF(OR(F18="",AND(G18="",F18&lt;&gt;LookupTabellen!$A$6,F18&lt;&gt;LookupTabellen!$A$7)),0,IFERROR(VLOOKUP(F18,LookupTabellen!$A$3:$C$7,3,FALSE)*VLOOKUP(G18,LookupTabellen!$D$3:$F$5,3,FALSE)*VLOOKUP(A18,Fragenkatalog!A:N,13,FALSE),""))</f>
        <v>0</v>
      </c>
      <c r="L18" s="2">
        <f>IF(F18=LookupTabellen!$A$6,0,IFERROR(ABS(VLOOKUP(A18,Fragenkatalog!A:N,14,FALSE)),""))</f>
        <v>0.5</v>
      </c>
      <c r="M18" s="2" t="str">
        <f>IFERROR((IF(VLOOKUP(A18,Fragenkatalog!A:N,14,FALSE)&lt;0,-4,0)+VLOOKUP(F18,LookupTabellen!$A$3:$B$7,2,FALSE))*VLOOKUP(A18,Fragenkatalog!A:N,14,FALSE),"")</f>
        <v/>
      </c>
      <c r="N18" s="2">
        <f>IFERROR(VLOOKUP(G18,LookupTabellen!$D$3:$E$5,2,FALSE)*AND(H18&lt;&gt;"Antwort auswählen",F18&lt;&gt;LookupTabellen!$A$6,F18&lt;&gt;LookupTabellen!$A$7),0)</f>
        <v>0</v>
      </c>
      <c r="O18" s="1" t="str">
        <f>IF(F18=LookupTabellen!$A$3,IF(VLOOKUP($A18,Fragenkatalog!$A$1:$L$61,MATCH($C$13,Fragenkatalog!$1:$1,0),FALSE)=0,"",CONCATENATE(VLOOKUP(H18,LookupTabellen!$H$2:$I$3,2,FALSE),VLOOKUP($A18,Fragenkatalog!$A$1:$L$61,MATCH($C$13,Fragenkatalog!$1:$1,0),FALSE))),"")</f>
        <v/>
      </c>
      <c r="P18" s="2" t="str">
        <f>IF(O18="",IF(OR(F18=LookupTabellen!$A$6,F18="",G18=LookupTabellen!$D$3),IF(VLOOKUP($A18,Fragenkatalog!$A$1:$L$61,MATCH("Frage",Fragenkatalog!$1:$1,0),FALSE)=0,"",CONCATENATE(VLOOKUP(H18,LookupTabellen!$H$2:$I$3,2,FALSE),VLOOKUP($A18,Fragenkatalog!$A$1:$L$61,MATCH("Frage",Fragenkatalog!$1:$1,0),FALSE))),""),"")</f>
        <v>Können alle externen Komponenten für die Verwendung der Hardware eingesetzt werden?</v>
      </c>
      <c r="Q18" s="78" t="str">
        <f>VLOOKUP($A18,Fragenkatalog!$A$1:$L$61,MATCH(Q$13,Fragenkatalog!$1:$1,0),FALSE)</f>
        <v>Hier wird abgefragt, ob alle externen Komponenten schon beschafft und die Rechte (z.B. Nutzungsrechte) und Abhängigkeiten (z.B. Copyleft) für die weitere Verwendung geklärt sind.</v>
      </c>
      <c r="U18" s="26"/>
      <c r="V18" s="54"/>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row>
    <row r="19" spans="1:62" ht="99" customHeight="1" thickBot="1" x14ac:dyDescent="0.3">
      <c r="A19" s="75" t="s">
        <v>44</v>
      </c>
      <c r="B19" s="76" t="str">
        <f>VLOOKUP($A19,Fragenkatalog!$A$1:$L$61,MATCH(B$13,Fragenkatalog!$1:$1,0),FALSE)</f>
        <v xml:space="preserve">Besteht die Hardware aus verschiedenen Komponenten, die jeweils separat verwertet werden können? </v>
      </c>
      <c r="C19" s="77" t="str">
        <f>_xlfn.CONCAT("Nein: ",VLOOKUP($A19,Fragenkatalog!$A$1:$L$61,MATCH(C$13,Fragenkatalog!$1:$1,0),FALSE))</f>
        <v>Nein: Die Hardware besitzt keine einzeln verwertbaren Komponenten.</v>
      </c>
      <c r="D19" s="77" t="str">
        <f>VLOOKUP($A19,Fragenkatalog!$A$1:$L$61,MATCH(D$13,Fragenkatalog!$1:$1,0),FALSE)</f>
        <v>Ob einzelne Komponenten verwertbar sind, ist derzeit nicht sicher abschätzbar.</v>
      </c>
      <c r="E19" s="77" t="str">
        <f>_xlfn.CONCAT("Ja: ",VLOOKUP($A19,Fragenkatalog!$A$1:$L$61,MATCH(E$13,Fragenkatalog!$1:$1,0),FALSE))</f>
        <v>Ja: Einzelne Komponenten können separat verwertet werden.</v>
      </c>
      <c r="F19" s="81"/>
      <c r="G19" s="82"/>
      <c r="H19" s="82" t="s">
        <v>39</v>
      </c>
      <c r="I19" s="2">
        <f>IF(F19=LookupTabellen!$A$7,0,IFERROR(VLOOKUP(A19,Fragenkatalog!A:N,13,FALSE),""))</f>
        <v>1</v>
      </c>
      <c r="J19" s="2">
        <f>IF(OR(F19="",AND(G19="",F19&lt;&gt;LookupTabellen!$A$6,F19&lt;&gt;LookupTabellen!$A$7)),0,IFERROR(VLOOKUP(F19,LookupTabellen!$A$3:$B$7,2,FALSE)*VLOOKUP(A19,Fragenkatalog!A:N,13,FALSE),""))</f>
        <v>0</v>
      </c>
      <c r="K19" s="2">
        <f>IF(OR(F19="",AND(G19="",F19&lt;&gt;LookupTabellen!$A$6,F19&lt;&gt;LookupTabellen!$A$7)),0,IFERROR(VLOOKUP(F19,LookupTabellen!$A$3:$C$7,3,FALSE)*VLOOKUP(G19,LookupTabellen!$D$3:$F$5,3,FALSE)*VLOOKUP(A19,Fragenkatalog!A:N,13,FALSE),""))</f>
        <v>0</v>
      </c>
      <c r="L19" s="2">
        <f>IF(F19=LookupTabellen!$A$6,0,IFERROR(ABS(VLOOKUP(A19,Fragenkatalog!A:N,14,FALSE)),""))</f>
        <v>0.25</v>
      </c>
      <c r="M19" s="2" t="str">
        <f>IFERROR((IF(VLOOKUP(A19,Fragenkatalog!A:N,14,FALSE)&lt;0,-4,0)+VLOOKUP(F19,LookupTabellen!$A$3:$B$7,2,FALSE))*VLOOKUP(A19,Fragenkatalog!A:N,14,FALSE),"")</f>
        <v/>
      </c>
      <c r="N19" s="2">
        <f>IFERROR(VLOOKUP(G19,LookupTabellen!$D$3:$E$5,2,FALSE)*AND(H19&lt;&gt;"Antwort auswählen",F19&lt;&gt;LookupTabellen!$A$6,F19&lt;&gt;LookupTabellen!$A$7),0)</f>
        <v>0</v>
      </c>
      <c r="O19" s="1" t="str">
        <f>IF(F19=LookupTabellen!$A$3,IF(VLOOKUP($A19,Fragenkatalog!$A$1:$L$61,MATCH($C$13,Fragenkatalog!$1:$1,0),FALSE)=0,"",CONCATENATE(VLOOKUP(H19,LookupTabellen!$H$2:$I$3,2,FALSE),VLOOKUP($A19,Fragenkatalog!$A$1:$L$61,MATCH($C$13,Fragenkatalog!$1:$1,0),FALSE))),"")</f>
        <v/>
      </c>
      <c r="P19" s="2" t="str">
        <f>IF(O19="",IF(OR(F19=LookupTabellen!$A$6,F19="",G19=LookupTabellen!$D$3),IF(VLOOKUP($A19,Fragenkatalog!$A$1:$L$61,MATCH("Frage",Fragenkatalog!$1:$1,0),FALSE)=0,"",CONCATENATE(VLOOKUP(H19,LookupTabellen!$H$2:$I$3,2,FALSE),VLOOKUP($A19,Fragenkatalog!$A$1:$L$61,MATCH("Frage",Fragenkatalog!$1:$1,0),FALSE))),""),"")</f>
        <v xml:space="preserve">Besteht die Hardware aus verschiedenen Komponenten, die jeweils separat verwertet werden können? </v>
      </c>
      <c r="Q19" s="78" t="str">
        <f>VLOOKUP($A19,Fragenkatalog!$A$1:$L$61,MATCH(Q$13,Fragenkatalog!$1:$1,0),FALSE)</f>
        <v xml:space="preserve">Hier wird abgefragt, ob eine Möglichkeit der Verwertung von Einzelteilen besteht, für den Fall, dass nicht das gesamte System verwertet werden kann. Damit wäre eine Teilverwertung möglich. </v>
      </c>
      <c r="U19" s="26"/>
      <c r="V19" s="54"/>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row>
    <row r="20" spans="1:62" ht="69.75" customHeight="1" thickBot="1" x14ac:dyDescent="0.3">
      <c r="A20" s="115" t="s">
        <v>45</v>
      </c>
      <c r="B20" s="116" t="str">
        <f>VLOOKUP($A20,Fragenkatalog!$A$1:$L$61,MATCH(B$13,Fragenkatalog!$1:$1,0),FALSE)</f>
        <v xml:space="preserve">Kann die Hardware ohne Einsatz von Software betrieben werden? </v>
      </c>
      <c r="C20" s="117" t="str">
        <f>_xlfn.CONCAT("Nein: ",VLOOKUP($A20,Fragenkatalog!$A$1:$L$61,MATCH(C$13,Fragenkatalog!$1:$1,0),FALSE))</f>
        <v>Nein: Die Hardware benötigt für die Nutzung den Einsatz von Software.</v>
      </c>
      <c r="D20" s="117" t="str">
        <f>VLOOKUP($A20,Fragenkatalog!$A$1:$L$61,MATCH(D$13,Fragenkatalog!$1:$1,0),FALSE)</f>
        <v>Für bestimmte Komponenten/Aufgaben ist eine Software nötig.</v>
      </c>
      <c r="E20" s="117" t="str">
        <f>_xlfn.CONCAT("Ja: ",VLOOKUP($A20,Fragenkatalog!$A$1:$L$61,MATCH(E$13,Fragenkatalog!$1:$1,0),FALSE))</f>
        <v>Ja: Die Hardware benötigt keine zusätzliche Software.</v>
      </c>
      <c r="F20" s="83"/>
      <c r="G20" s="84"/>
      <c r="H20" s="84" t="s">
        <v>39</v>
      </c>
      <c r="I20" s="2">
        <f>IF(F20=LookupTabellen!$A$7,0,IFERROR(VLOOKUP(A20,Fragenkatalog!A:N,13,FALSE),""))</f>
        <v>1</v>
      </c>
      <c r="J20" s="2">
        <f>IF(OR(F20="",AND(G20="",F20&lt;&gt;LookupTabellen!$A$6,F20&lt;&gt;LookupTabellen!$A$7)),0,IFERROR(VLOOKUP(F20,LookupTabellen!$A$3:$B$7,2,FALSE)*VLOOKUP(A20,Fragenkatalog!A:N,13,FALSE),""))</f>
        <v>0</v>
      </c>
      <c r="K20" s="2">
        <f>IF(OR(F20="",AND(G20="",F20&lt;&gt;LookupTabellen!$A$6,F20&lt;&gt;LookupTabellen!$A$7)),0,IFERROR(VLOOKUP(F20,LookupTabellen!$A$3:$C$7,3,FALSE)*VLOOKUP(G20,LookupTabellen!$D$3:$F$5,3,FALSE)*VLOOKUP(A20,Fragenkatalog!A:N,13,FALSE),""))</f>
        <v>0</v>
      </c>
      <c r="L20" s="2">
        <f>IF(F20=LookupTabellen!$A$6,0,IFERROR(ABS(VLOOKUP(A20,Fragenkatalog!A:N,14,FALSE)),""))</f>
        <v>0.25</v>
      </c>
      <c r="M20" s="2" t="str">
        <f>IFERROR((IF(VLOOKUP(A20,Fragenkatalog!A:N,14,FALSE)&lt;0,-4,0)+VLOOKUP(F20,LookupTabellen!$A$3:$B$7,2,FALSE))*VLOOKUP(A20,Fragenkatalog!A:N,14,FALSE),"")</f>
        <v/>
      </c>
      <c r="N20" s="2">
        <f>IFERROR(VLOOKUP(G20,LookupTabellen!$D$3:$E$5,2,FALSE)*AND(H20&lt;&gt;"Antwort auswählen",F20&lt;&gt;LookupTabellen!$A$6,F20&lt;&gt;LookupTabellen!$A$7),0)</f>
        <v>0</v>
      </c>
      <c r="O20" s="1" t="str">
        <f>IF(F20=LookupTabellen!$A$3,IF(VLOOKUP($A20,Fragenkatalog!$A$1:$L$61,MATCH($C$13,Fragenkatalog!$1:$1,0),FALSE)=0,"",CONCATENATE(VLOOKUP(H20,LookupTabellen!$H$2:$I$3,2,FALSE),VLOOKUP($A20,Fragenkatalog!$A$1:$L$61,MATCH($C$13,Fragenkatalog!$1:$1,0),FALSE))),"")</f>
        <v/>
      </c>
      <c r="P20" s="2" t="str">
        <f>IF(O20="",IF(OR(F20=LookupTabellen!$A$6,F20="",G20=LookupTabellen!$D$3),IF(VLOOKUP($A20,Fragenkatalog!$A$1:$L$61,MATCH("Frage",Fragenkatalog!$1:$1,0),FALSE)=0,"",CONCATENATE(VLOOKUP(H20,LookupTabellen!$H$2:$I$3,2,FALSE),VLOOKUP($A20,Fragenkatalog!$A$1:$L$61,MATCH("Frage",Fragenkatalog!$1:$1,0),FALSE))),""),"")</f>
        <v xml:space="preserve">Kann die Hardware ohne Einsatz von Software betrieben werden? </v>
      </c>
      <c r="Q20" s="117" t="str">
        <f>VLOOKUP($A20,Fragenkatalog!$A$1:$L$61,MATCH(Q$13,Fragenkatalog!$1:$1,0),FALSE)</f>
        <v>Der Einsatz von proprietärer Software oder von Software mit starker Copyleft-Lizenz (z.B. GPL 3.0) kann zu Einschränkungen der geplanten Verwertung führen.</v>
      </c>
      <c r="U20" s="26"/>
      <c r="V20" s="54"/>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row>
    <row r="21" spans="1:62" ht="69.75" customHeight="1" thickBot="1" x14ac:dyDescent="0.3">
      <c r="A21" s="115" t="s">
        <v>46</v>
      </c>
      <c r="B21" s="116" t="str">
        <f>VLOOKUP($A21,Fragenkatalog!$A$1:$L$61,MATCH(B$13,Fragenkatalog!$1:$1,0),FALSE)</f>
        <v>Kann die Hardware ohne spezielle Zulassungen verwertet werden?</v>
      </c>
      <c r="C21" s="117" t="str">
        <f>_xlfn.CONCAT("Nein: ",VLOOKUP($A21,Fragenkatalog!$A$1:$L$61,MATCH(C$13,Fragenkatalog!$1:$1,0),FALSE))</f>
        <v>Nein: Die Hardware erfordert spezielle Zulassungen.</v>
      </c>
      <c r="D21" s="117" t="str">
        <f>VLOOKUP($A21,Fragenkatalog!$A$1:$L$61,MATCH(D$13,Fragenkatalog!$1:$1,0),FALSE)</f>
        <v>Die Hardware benötigt keine Zulassungen, muss jedoch bestimmte Standards erfüllen.</v>
      </c>
      <c r="E21" s="117" t="str">
        <f>_xlfn.CONCAT("Ja: ",VLOOKUP($A21,Fragenkatalog!$A$1:$L$61,MATCH(E$13,Fragenkatalog!$1:$1,0),FALSE))</f>
        <v>Ja: Keine Zulassungen oder Einhaltung von Standards erforderlich.</v>
      </c>
      <c r="F21" s="83"/>
      <c r="G21" s="84"/>
      <c r="H21" s="84" t="s">
        <v>39</v>
      </c>
      <c r="I21" s="2">
        <f>IF(F21=LookupTabellen!$A$7,0,IFERROR(VLOOKUP(A21,Fragenkatalog!A:N,13,FALSE),""))</f>
        <v>1</v>
      </c>
      <c r="J21" s="2">
        <f>IF(OR(F21="",AND(G21="",F21&lt;&gt;LookupTabellen!$A$6,F21&lt;&gt;LookupTabellen!$A$7)),0,IFERROR(VLOOKUP(F21,LookupTabellen!$A$3:$B$7,2,FALSE)*VLOOKUP(A21,Fragenkatalog!A:N,13,FALSE),""))</f>
        <v>0</v>
      </c>
      <c r="K21" s="2">
        <f>IF(OR(F21="",AND(G21="",F21&lt;&gt;LookupTabellen!$A$6,F21&lt;&gt;LookupTabellen!$A$7)),0,IFERROR(VLOOKUP(F21,LookupTabellen!$A$3:$C$7,3,FALSE)*VLOOKUP(G21,LookupTabellen!$D$3:$F$5,3,FALSE)*VLOOKUP(A21,Fragenkatalog!A:N,13,FALSE),""))</f>
        <v>0</v>
      </c>
      <c r="L21" s="2">
        <f>IF(F21=LookupTabellen!$A$6,0,IFERROR(ABS(VLOOKUP(A21,Fragenkatalog!A:N,14,FALSE)),""))</f>
        <v>0</v>
      </c>
      <c r="M21" s="2" t="str">
        <f>IFERROR((IF(VLOOKUP(A21,Fragenkatalog!A:N,14,FALSE)&lt;0,-4,0)+VLOOKUP(F21,LookupTabellen!$A$3:$B$7,2,FALSE))*VLOOKUP(A21,Fragenkatalog!A:N,14,FALSE),"")</f>
        <v/>
      </c>
      <c r="N21" s="2">
        <f>IFERROR(VLOOKUP(G21,LookupTabellen!$D$3:$E$5,2,FALSE)*AND(H21&lt;&gt;"Antwort auswählen",F21&lt;&gt;LookupTabellen!$A$6,F21&lt;&gt;LookupTabellen!$A$7),0)</f>
        <v>0</v>
      </c>
      <c r="O21" s="1" t="str">
        <f>IF(F21=LookupTabellen!$A$3,IF(VLOOKUP($A21,Fragenkatalog!$A$1:$L$61,MATCH($C$13,Fragenkatalog!$1:$1,0),FALSE)=0,"",CONCATENATE(VLOOKUP(H21,LookupTabellen!$H$2:$I$3,2,FALSE),VLOOKUP($A21,Fragenkatalog!$A$1:$L$61,MATCH($C$13,Fragenkatalog!$1:$1,0),FALSE))),"")</f>
        <v/>
      </c>
      <c r="P21" s="2" t="str">
        <f>IF(O21="",IF(OR(F21=LookupTabellen!$A$6,F21="",G21=LookupTabellen!$D$3),IF(VLOOKUP($A21,Fragenkatalog!$A$1:$L$61,MATCH("Frage",Fragenkatalog!$1:$1,0),FALSE)=0,"",CONCATENATE(VLOOKUP(H21,LookupTabellen!$H$2:$I$3,2,FALSE),VLOOKUP($A21,Fragenkatalog!$A$1:$L$61,MATCH("Frage",Fragenkatalog!$1:$1,0),FALSE))),""),"")</f>
        <v>Kann die Hardware ohne spezielle Zulassungen verwertet werden?</v>
      </c>
      <c r="Q21" s="117" t="str">
        <f>VLOOKUP($A21,Fragenkatalog!$A$1:$L$61,MATCH(Q$13,Fragenkatalog!$1:$1,0),FALSE)</f>
        <v>Für die Verwertung der Hardware sind möglicherweise bestimmte Zulassungen, Standards oder Anforderungen erforderlich. Dies können bspw. die Zulassung als Medizinprodukt (MDR), bestimmte Datenschutzverordnungen oder Industriestandards sein.</v>
      </c>
      <c r="U21" s="26"/>
      <c r="V21" s="54"/>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row>
    <row r="22" spans="1:62" ht="69.75" customHeight="1" thickBot="1" x14ac:dyDescent="0.3">
      <c r="A22" s="75" t="s">
        <v>47</v>
      </c>
      <c r="B22" s="76" t="str">
        <f>VLOOKUP($A22,Fragenkatalog!$A$1:$L$61,MATCH(B$13,Fragenkatalog!$1:$1,0),FALSE)</f>
        <v>Lässt sich die Hardware unbedenklich für Umwelt, Mensch und/oder Gesellschaft verwenden?</v>
      </c>
      <c r="C22" s="77" t="str">
        <f>_xlfn.CONCAT("Nein: ",VLOOKUP($A22,Fragenkatalog!$A$1:$L$61,MATCH(C$13,Fragenkatalog!$1:$1,0),FALSE))</f>
        <v>Nein: Die Hardware ist schädlich.</v>
      </c>
      <c r="D22" s="77" t="str">
        <f>VLOOKUP($A22,Fragenkatalog!$A$1:$L$61,MATCH(D$13,Fragenkatalog!$1:$1,0),FALSE)</f>
        <v>Die Hardware lässt sich zu schädlichen Zwecken missbrauchen.</v>
      </c>
      <c r="E22" s="77" t="str">
        <f>_xlfn.CONCAT("Ja: ",VLOOKUP($A22,Fragenkatalog!$A$1:$L$61,MATCH(E$13,Fragenkatalog!$1:$1,0),FALSE))</f>
        <v xml:space="preserve">Ja: Die Hardware ist unbedenklich.
</v>
      </c>
      <c r="F22" s="81"/>
      <c r="G22" s="82"/>
      <c r="H22" s="82" t="s">
        <v>39</v>
      </c>
      <c r="I22" s="2">
        <f>IF(F22=LookupTabellen!$A$7,0,IFERROR(VLOOKUP(A22,Fragenkatalog!A:N,13,FALSE),""))</f>
        <v>1</v>
      </c>
      <c r="J22" s="2">
        <f>IF(OR(F22="",AND(G22="",F22&lt;&gt;LookupTabellen!$A$6,F22&lt;&gt;LookupTabellen!$A$7)),0,IFERROR(VLOOKUP(F22,LookupTabellen!$A$3:$B$7,2,FALSE)*VLOOKUP(A22,Fragenkatalog!A:N,13,FALSE),""))</f>
        <v>0</v>
      </c>
      <c r="K22" s="2">
        <f>IF(OR(F22="",AND(G22="",F22&lt;&gt;LookupTabellen!$A$6,F22&lt;&gt;LookupTabellen!$A$7)),0,IFERROR(VLOOKUP(F22,LookupTabellen!$A$3:$C$7,3,FALSE)*VLOOKUP(G22,LookupTabellen!$D$3:$F$5,3,FALSE)*VLOOKUP(A22,Fragenkatalog!A:N,13,FALSE),""))</f>
        <v>0</v>
      </c>
      <c r="L22" s="2">
        <f>IF(F22=LookupTabellen!$A$6,0,IFERROR(ABS(VLOOKUP(A22,Fragenkatalog!A:N,14,FALSE)),""))</f>
        <v>0.4</v>
      </c>
      <c r="M22" s="2" t="str">
        <f>IFERROR((IF(VLOOKUP(A22,Fragenkatalog!A:N,14,FALSE)&lt;0,-4,0)+VLOOKUP(F22,LookupTabellen!$A$3:$B$7,2,FALSE))*VLOOKUP(A22,Fragenkatalog!A:N,14,FALSE),"")</f>
        <v/>
      </c>
      <c r="N22" s="2">
        <f>IFERROR(VLOOKUP(G22,LookupTabellen!$D$3:$E$5,2,FALSE)*AND(H22&lt;&gt;"Antwort auswählen",F22&lt;&gt;LookupTabellen!$A$6,F22&lt;&gt;LookupTabellen!$A$7),0)</f>
        <v>0</v>
      </c>
      <c r="O22" s="1" t="str">
        <f>IF(F22=LookupTabellen!$A$3,IF(VLOOKUP($A22,Fragenkatalog!$A$1:$L$61,MATCH($C$13,Fragenkatalog!$1:$1,0),FALSE)=0,"",CONCATENATE(VLOOKUP(H22,LookupTabellen!$H$2:$I$3,2,FALSE),VLOOKUP($A22,Fragenkatalog!$A$1:$L$61,MATCH($C$13,Fragenkatalog!$1:$1,0),FALSE))),"")</f>
        <v/>
      </c>
      <c r="P22" s="2" t="str">
        <f>IF(O22="",IF(OR(F22=LookupTabellen!$A$6,F22="",G22=LookupTabellen!$D$3),IF(VLOOKUP($A22,Fragenkatalog!$A$1:$L$61,MATCH("Frage",Fragenkatalog!$1:$1,0),FALSE)=0,"",CONCATENATE(VLOOKUP(H22,LookupTabellen!$H$2:$I$3,2,FALSE),VLOOKUP($A22,Fragenkatalog!$A$1:$L$61,MATCH("Frage",Fragenkatalog!$1:$1,0),FALSE))),""),"")</f>
        <v>Lässt sich die Hardware unbedenklich für Umwelt, Mensch und/oder Gesellschaft verwenden?</v>
      </c>
      <c r="Q22" s="78" t="str">
        <f>VLOOKUP($A22,Fragenkatalog!$A$1:$L$61,MATCH(Q$13,Fragenkatalog!$1:$1,0),FALSE)</f>
        <v>Führt die Hardware zu schädlichen Auswirkungen auf Mensch, Gesellschaft oder Umwelt, dann sollte von einer Veröffentlichung abgesehen werden. Schädliche Auswirkungen können sein: Nutzung als Waffensysteme, Aufnahme von Satellitenbildern, Sammlung und Auswertung personenbezogener Daten usw.</v>
      </c>
      <c r="U22" s="26"/>
      <c r="V22" s="54"/>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row>
    <row r="23" spans="1:62" ht="24" thickBot="1" x14ac:dyDescent="0.3">
      <c r="A23" s="51"/>
      <c r="B23" s="51"/>
      <c r="C23" s="51"/>
      <c r="D23" s="51"/>
      <c r="E23" s="118">
        <f>IFERROR(SUM(K14:K22)/SUM(I14:I22),0)</f>
        <v>0</v>
      </c>
      <c r="F23" s="119">
        <f>IFERROR(SUM(J14:J22)/SUM(I14:I22),0)</f>
        <v>0</v>
      </c>
      <c r="G23" s="119">
        <f>IFERROR(SUM(N14:N22)/(COUNTIF(F14:F22,"&lt;&gt;nicht relevant")),"Bewertung nicht möglich")</f>
        <v>0</v>
      </c>
      <c r="Q23" s="1"/>
      <c r="U23" s="26"/>
      <c r="V23" s="54"/>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row>
    <row r="24" spans="1:62" ht="15.75" thickBot="1" x14ac:dyDescent="0.3">
      <c r="A24" s="51"/>
      <c r="B24" s="51"/>
      <c r="C24" s="51"/>
      <c r="D24" s="51"/>
      <c r="E24" s="79" t="s">
        <v>48</v>
      </c>
      <c r="F24" s="79" t="s">
        <v>49</v>
      </c>
      <c r="G24" s="79" t="s">
        <v>7</v>
      </c>
      <c r="H24" s="51"/>
      <c r="I24" s="51"/>
      <c r="J24" s="51"/>
      <c r="K24" s="51"/>
      <c r="L24" s="51"/>
      <c r="M24" s="51"/>
      <c r="N24" s="51"/>
      <c r="O24" s="51"/>
      <c r="P24" s="51"/>
      <c r="Q24" s="51"/>
      <c r="U24" s="26"/>
      <c r="V24" s="54"/>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row>
    <row r="25" spans="1:62" ht="27" thickBot="1" x14ac:dyDescent="0.3">
      <c r="A25" s="179" t="s">
        <v>50</v>
      </c>
      <c r="B25" s="180"/>
      <c r="C25" s="180"/>
      <c r="D25" s="180"/>
      <c r="E25" s="180"/>
      <c r="F25" s="180"/>
      <c r="G25" s="180"/>
      <c r="H25" s="180"/>
      <c r="I25" s="180"/>
      <c r="J25" s="180"/>
      <c r="K25" s="180"/>
      <c r="L25" s="180"/>
      <c r="M25" s="180"/>
      <c r="N25" s="180"/>
      <c r="O25" s="180"/>
      <c r="P25" s="180"/>
      <c r="Q25" s="180"/>
      <c r="R25" s="54"/>
      <c r="S25" s="54"/>
      <c r="T25" s="54" t="str">
        <f>IF(F25=LookupTabellen!$A$3,IF(VLOOKUP($A25,Fragenkatalog!$A$1:$L$61,MATCH("Empfehlungen",Fragenkatalog!$1:$1,0),FALSE)=0,"",VLOOKUP($A25,Fragenkatalog!$A$1:$L$61,MATCH("Empfehlungen",Fragenkatalog!$1:$1,0),FALSE)),"")</f>
        <v/>
      </c>
      <c r="U25" s="54" t="str">
        <f>IF(G25=LookupTabellen!$D$3,IF(VLOOKUP($A25,Fragenkatalog!$A$1:$L$61,MATCH("Frage",Fragenkatalog!$1:$1,0),FALSE)=0,"",VLOOKUP($A25,Fragenkatalog!$A$1:$L$61,MATCH("Frage",Fragenkatalog!$1:$1,0),FALSE)),"")</f>
        <v/>
      </c>
      <c r="V25" s="54"/>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row>
    <row r="26" spans="1:62" ht="63.75" thickBot="1" x14ac:dyDescent="0.3">
      <c r="A26" s="120" t="s">
        <v>21</v>
      </c>
      <c r="B26" s="121" t="s">
        <v>22</v>
      </c>
      <c r="C26" s="121" t="s">
        <v>23</v>
      </c>
      <c r="D26" s="121" t="s">
        <v>24</v>
      </c>
      <c r="E26" s="121" t="s">
        <v>25</v>
      </c>
      <c r="F26" s="122" t="s">
        <v>51</v>
      </c>
      <c r="G26" s="122" t="s">
        <v>52</v>
      </c>
      <c r="H26" s="122" t="s">
        <v>53</v>
      </c>
      <c r="I26" s="123" t="s">
        <v>29</v>
      </c>
      <c r="J26" s="123" t="s">
        <v>30</v>
      </c>
      <c r="K26" s="123" t="s">
        <v>31</v>
      </c>
      <c r="L26" s="123" t="s">
        <v>54</v>
      </c>
      <c r="M26" s="123" t="s">
        <v>55</v>
      </c>
      <c r="N26" s="123" t="s">
        <v>34</v>
      </c>
      <c r="O26" s="123" t="s">
        <v>35</v>
      </c>
      <c r="P26" s="123" t="s">
        <v>36</v>
      </c>
      <c r="Q26" s="121" t="s">
        <v>37</v>
      </c>
      <c r="U26" s="26"/>
      <c r="V26" s="54"/>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row>
    <row r="27" spans="1:62" ht="60.75" thickBot="1" x14ac:dyDescent="0.3">
      <c r="A27" s="75" t="s">
        <v>56</v>
      </c>
      <c r="B27" s="76" t="str">
        <f>VLOOKUP($A27,Fragenkatalog!$A$1:$L$61,MATCH(B$26,Fragenkatalog!$1:$1,0),FALSE)</f>
        <v>Ist das Entwicklerteam bereit, die Verwertung der Hardware zu unterstützen?</v>
      </c>
      <c r="C27" s="77" t="str">
        <f>_xlfn.CONCAT("Nein: ",VLOOKUP($A27,Fragenkatalog!$A$1:$L$61,MATCH(C$13,Fragenkatalog!$1:$1,0),FALSE))</f>
        <v>Nein: Das Entwicklerteam will die Verwertung nicht unterstützen.</v>
      </c>
      <c r="D27" s="77" t="str">
        <f>VLOOKUP($A27,Fragenkatalog!$A$1:$L$61,MATCH(D$13,Fragenkatalog!$1:$1,0),FALSE)</f>
        <v>Das Entwicklerteam möchte die Hardware noch fertigstellen, aber nicht verwerten.</v>
      </c>
      <c r="E27" s="77" t="str">
        <f>_xlfn.CONCAT("Ja: ",VLOOKUP($A27,Fragenkatalog!$A$1:$L$61,MATCH(E$13,Fragenkatalog!$1:$1,0),FALSE))</f>
        <v>Ja: Das Entwicklerteam möchte bei der Verwertung mitarbeiten.</v>
      </c>
      <c r="F27" s="81"/>
      <c r="G27" s="82"/>
      <c r="H27" s="82" t="s">
        <v>39</v>
      </c>
      <c r="I27" s="2">
        <f>IF(F27=LookupTabellen!$A$7,0,IFERROR(VLOOKUP(A27,Fragenkatalog!A:N,13,FALSE),""))</f>
        <v>1</v>
      </c>
      <c r="J27" s="2">
        <f>IF(OR(F27="",AND(G27="",F27&lt;&gt;LookupTabellen!$A$6,F27&lt;&gt;LookupTabellen!$A$7)),0,IFERROR(VLOOKUP(F27,LookupTabellen!$A$3:$B$7,2,FALSE)*VLOOKUP(A27,Fragenkatalog!A:N,13,FALSE),""))</f>
        <v>0</v>
      </c>
      <c r="K27" s="2">
        <f>IF(OR(F27="",AND(G27="",F27&lt;&gt;LookupTabellen!$A$6,F27&lt;&gt;LookupTabellen!$A$7)),0,IFERROR(VLOOKUP(F27,LookupTabellen!$A$3:$C$7,3,FALSE)*VLOOKUP(G27,LookupTabellen!$D$3:$F$5,3,FALSE)*VLOOKUP(A27,Fragenkatalog!A:N,13,FALSE),""))</f>
        <v>0</v>
      </c>
      <c r="L27" s="2">
        <f>IF(F27=LookupTabellen!$A$6,0,IFERROR(ABS(VLOOKUP(A27,Fragenkatalog!A:N,14,FALSE)),""))</f>
        <v>0.8</v>
      </c>
      <c r="M27" s="2" t="str">
        <f>IFERROR((IF(VLOOKUP(A27,Fragenkatalog!A:N,14,FALSE)&lt;0,-4,0)+VLOOKUP(F27,LookupTabellen!$A$3:$B$7,2,FALSE))*VLOOKUP(A27,Fragenkatalog!A:N,14,FALSE),"")</f>
        <v/>
      </c>
      <c r="N27" s="2">
        <f>IFERROR(VLOOKUP(G27,LookupTabellen!$D$3:$E$5,2,FALSE)*AND(H27&lt;&gt;"Antwort auswählen",F27&lt;&gt;LookupTabellen!$A$6,F27&lt;&gt;LookupTabellen!$A$7),0)</f>
        <v>0</v>
      </c>
      <c r="O27" s="1" t="str">
        <f>IF(F27=LookupTabellen!$A$3,IF(VLOOKUP($A27,Fragenkatalog!$A$1:$L$61,MATCH($C$13,Fragenkatalog!$1:$1,0),FALSE)=0,"",CONCATENATE(VLOOKUP(H27,LookupTabellen!$H$2:$I$3,2,FALSE),VLOOKUP($A27,Fragenkatalog!$A$1:$L$61,MATCH($C$13,Fragenkatalog!$1:$1,0),FALSE))),"")</f>
        <v/>
      </c>
      <c r="P27" s="2" t="str">
        <f>IF(O27="",IF(OR(F27=LookupTabellen!$A$6,F27="",G27=LookupTabellen!$D$3),IF(VLOOKUP($A27,Fragenkatalog!$A$1:$L$61,MATCH("Frage",Fragenkatalog!$1:$1,0),FALSE)=0,"",CONCATENATE(VLOOKUP(H27,LookupTabellen!$H$2:$I$3,2,FALSE),VLOOKUP($A27,Fragenkatalog!$A$1:$L$61,MATCH("Frage",Fragenkatalog!$1:$1,0),FALSE))),""),"")</f>
        <v>Ist das Entwicklerteam bereit, die Verwertung der Hardware zu unterstützen?</v>
      </c>
      <c r="Q27" s="78" t="str">
        <f>VLOOKUP($A27,Fragenkatalog!$A$1:$L$61,MATCH(Q$13,Fragenkatalog!$1:$1,0),FALSE)</f>
        <v>Inwieweit sind die Entwickler: innen bereit bei der Verwertung mitzuarbeiten?  Sei es in Form einer Ausgründung oder durch Unterstützung bei Aufgaben wie Wartung, Support, Beratung usw.?</v>
      </c>
      <c r="U27" s="26"/>
      <c r="V27" s="54"/>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row>
    <row r="28" spans="1:62" ht="90.75" thickBot="1" x14ac:dyDescent="0.3">
      <c r="A28" s="124" t="s">
        <v>57</v>
      </c>
      <c r="B28" s="125" t="str">
        <f>VLOOKUP($A28,Fragenkatalog!$A$1:$L$61,MATCH(B$26,Fragenkatalog!$1:$1,0),FALSE)</f>
        <v>Ist das Entwicklerteam kompromissbereit und zeigt es eine realistische Erwartung bzgl. der angestrebten Verwertung?</v>
      </c>
      <c r="C28" s="126" t="str">
        <f>_xlfn.CONCAT("Nein: ",VLOOKUP($A28,Fragenkatalog!$A$1:$L$61,MATCH(C$13,Fragenkatalog!$1:$1,0),FALSE))</f>
        <v>Nein: Die Entwickler zeigen wenig Kompromissbereitschaft.</v>
      </c>
      <c r="D28" s="126" t="str">
        <f>VLOOKUP($A28,Fragenkatalog!$A$1:$L$61,MATCH(D$26,Fragenkatalog!$1:$1,0),FALSE)</f>
        <v>Das Entwicklerteam hat gegensätzliche und unrealistische Erwartungen.</v>
      </c>
      <c r="E28" s="126" t="str">
        <f>_xlfn.CONCAT("Ja: ",VLOOKUP($A28,Fragenkatalog!$A$1:$L$61,MATCH(E$13,Fragenkatalog!$1:$1,0),FALSE))</f>
        <v>Ja: Das Entwicklerteam hat realistische Erwartungen hinsichtlich der Verwertung.</v>
      </c>
      <c r="F28" s="85"/>
      <c r="G28" s="86"/>
      <c r="H28" s="86" t="s">
        <v>39</v>
      </c>
      <c r="I28" s="2">
        <f>IF(F28=LookupTabellen!$A$7,0,IFERROR(VLOOKUP(A28,Fragenkatalog!A:N,13,FALSE),""))</f>
        <v>1</v>
      </c>
      <c r="J28" s="2">
        <f>IF(OR(F28="",AND(G28="",F28&lt;&gt;LookupTabellen!$A$6,F28&lt;&gt;LookupTabellen!$A$7)),0,IFERROR(VLOOKUP(F28,LookupTabellen!$A$3:$B$7,2,FALSE)*VLOOKUP(A28,Fragenkatalog!A:N,13,FALSE),""))</f>
        <v>0</v>
      </c>
      <c r="K28" s="2">
        <f>IF(OR(F28="",AND(G28="",F28&lt;&gt;LookupTabellen!$A$6,F28&lt;&gt;LookupTabellen!$A$7)),0,IFERROR(VLOOKUP(F28,LookupTabellen!$A$3:$C$7,3,FALSE)*VLOOKUP(G28,LookupTabellen!$D$3:$F$5,3,FALSE)*VLOOKUP(A28,Fragenkatalog!A:N,13,FALSE),""))</f>
        <v>0</v>
      </c>
      <c r="L28" s="2">
        <f>IF(F28=LookupTabellen!$A$6,0,IFERROR(ABS(VLOOKUP(A28,Fragenkatalog!A:N,14,FALSE)),""))</f>
        <v>1</v>
      </c>
      <c r="M28" s="2" t="str">
        <f>IFERROR((IF(VLOOKUP(A28,Fragenkatalog!A:N,14,FALSE)&lt;0,-4,0)+VLOOKUP(F28,LookupTabellen!$A$3:$B$7,2,FALSE))*VLOOKUP(A28,Fragenkatalog!A:N,14,FALSE),"")</f>
        <v/>
      </c>
      <c r="N28" s="2">
        <f>IFERROR(VLOOKUP(G28,LookupTabellen!$D$3:$E$5,2,FALSE)*AND(H28&lt;&gt;"Antwort auswählen",F28&lt;&gt;LookupTabellen!$A$6,F28&lt;&gt;LookupTabellen!$A$7),0)</f>
        <v>0</v>
      </c>
      <c r="O28" s="1" t="str">
        <f>IF(F28=LookupTabellen!$A$3,IF(VLOOKUP($A28,Fragenkatalog!$A$1:$L$61,MATCH($C$13,Fragenkatalog!$1:$1,0),FALSE)=0,"",CONCATENATE(VLOOKUP(H28,LookupTabellen!$H$2:$I$3,2,FALSE),VLOOKUP($A28,Fragenkatalog!$A$1:$L$61,MATCH($C$13,Fragenkatalog!$1:$1,0),FALSE))),"")</f>
        <v/>
      </c>
      <c r="P28" s="2" t="str">
        <f>IF(O28="",IF(OR(F28=LookupTabellen!$A$6,F28="",G28=LookupTabellen!$D$3),IF(VLOOKUP($A28,Fragenkatalog!$A$1:$L$61,MATCH("Frage",Fragenkatalog!$1:$1,0),FALSE)=0,"",CONCATENATE(VLOOKUP(H28,LookupTabellen!$H$2:$I$3,2,FALSE),VLOOKUP($A28,Fragenkatalog!$A$1:$L$61,MATCH("Frage",Fragenkatalog!$1:$1,0),FALSE))),""),"")</f>
        <v>Ist das Entwicklerteam kompromissbereit und zeigt es eine realistische Erwartung bzgl. der angestrebten Verwertung?</v>
      </c>
      <c r="Q28" s="126" t="str">
        <f>VLOOKUP($A28,Fragenkatalog!$A$1:$L$61,MATCH(Q$26,Fragenkatalog!$1:$1,0),FALSE)</f>
        <v>Die Erwartungen von Entwickler: innen bzgl. der Verwertung können erheblich variieren. Sie können auf eine Open-Source-Verwertung bestehen oder großen Gewinn anstreben. Bei der Bewertung muss abgeschätzt werden, ob die Erwartungen im Entwicklerteam realistisch sind, zu Problemen führen und Kompromissbereitschaft besteht.</v>
      </c>
      <c r="U28" s="26"/>
      <c r="V28" s="54"/>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row>
    <row r="29" spans="1:62" ht="30.75" thickBot="1" x14ac:dyDescent="0.3">
      <c r="A29" s="75" t="s">
        <v>58</v>
      </c>
      <c r="B29" s="76" t="str">
        <f>VLOOKUP($A29,Fragenkatalog!$A$1:$L$61,MATCH(B$26,Fragenkatalog!$1:$1,0),FALSE)</f>
        <v>Sind alle Fragen der Autorenschaft geklärt?</v>
      </c>
      <c r="C29" s="77" t="str">
        <f>_xlfn.CONCAT("Nein: ",VLOOKUP($A29,Fragenkatalog!$A$1:$L$61,MATCH(C$13,Fragenkatalog!$1:$1,0),FALSE))</f>
        <v>Nein: Es gibt noch offene Fragen oder Streitpunkte.</v>
      </c>
      <c r="D29" s="77" t="str">
        <f>VLOOKUP($A29,Fragenkatalog!$A$1:$L$61,MATCH(D$26,Fragenkatalog!$1:$1,0),FALSE)</f>
        <v>Offene Punkte lassen sich klären.</v>
      </c>
      <c r="E29" s="77" t="str">
        <f>_xlfn.CONCAT("Ja: ",VLOOKUP($A29,Fragenkatalog!$A$1:$L$61,MATCH(E$13,Fragenkatalog!$1:$1,0),FALSE))</f>
        <v>Ja: Alle Fragen sind geklärt.</v>
      </c>
      <c r="F29" s="81"/>
      <c r="G29" s="82"/>
      <c r="H29" s="82" t="s">
        <v>39</v>
      </c>
      <c r="I29" s="2">
        <f>IF(F29=LookupTabellen!$A$7,0,IFERROR(VLOOKUP(A29,Fragenkatalog!A:N,13,FALSE),""))</f>
        <v>1</v>
      </c>
      <c r="J29" s="2">
        <f>IF(OR(F29="",AND(G29="",F29&lt;&gt;LookupTabellen!$A$6,F29&lt;&gt;LookupTabellen!$A$7)),0,IFERROR(VLOOKUP(F29,LookupTabellen!$A$3:$B$7,2,FALSE)*VLOOKUP(A29,Fragenkatalog!A:N,13,FALSE),""))</f>
        <v>0</v>
      </c>
      <c r="K29" s="2">
        <f>IF(OR(F29="",AND(G29="",F29&lt;&gt;LookupTabellen!$A$6,F29&lt;&gt;LookupTabellen!$A$7)),0,IFERROR(VLOOKUP(F29,LookupTabellen!$A$3:$C$7,3,FALSE)*VLOOKUP(G29,LookupTabellen!$D$3:$F$5,3,FALSE)*VLOOKUP(A29,Fragenkatalog!A:N,13,FALSE),""))</f>
        <v>0</v>
      </c>
      <c r="L29" s="2">
        <f>IF(F29=LookupTabellen!$A$6,0,IFERROR(ABS(VLOOKUP(A29,Fragenkatalog!A:N,14,FALSE)),""))</f>
        <v>0.75</v>
      </c>
      <c r="M29" s="2" t="str">
        <f>IFERROR((IF(VLOOKUP(A29,Fragenkatalog!A:N,14,FALSE)&lt;0,-4,0)+VLOOKUP(F29,LookupTabellen!$A$3:$B$7,2,FALSE))*VLOOKUP(A29,Fragenkatalog!A:N,14,FALSE),"")</f>
        <v/>
      </c>
      <c r="N29" s="2">
        <f>IFERROR(VLOOKUP(G29,LookupTabellen!$D$3:$E$5,2,FALSE)*AND(H29&lt;&gt;"Antwort auswählen",F29&lt;&gt;LookupTabellen!$A$6,F29&lt;&gt;LookupTabellen!$A$7),0)</f>
        <v>0</v>
      </c>
      <c r="O29" s="1" t="str">
        <f>IF(F29=LookupTabellen!$A$3,IF(VLOOKUP($A29,Fragenkatalog!$A$1:$L$61,MATCH($C$13,Fragenkatalog!$1:$1,0),FALSE)=0,"",CONCATENATE(VLOOKUP(H29,LookupTabellen!$H$2:$I$3,2,FALSE),VLOOKUP($A29,Fragenkatalog!$A$1:$L$61,MATCH($C$13,Fragenkatalog!$1:$1,0),FALSE))),"")</f>
        <v/>
      </c>
      <c r="P29" s="2" t="str">
        <f>IF(O29="",IF(OR(F29=LookupTabellen!$A$6,F29="",G29=LookupTabellen!$D$3),IF(VLOOKUP($A29,Fragenkatalog!$A$1:$L$61,MATCH("Frage",Fragenkatalog!$1:$1,0),FALSE)=0,"",CONCATENATE(VLOOKUP(H29,LookupTabellen!$H$2:$I$3,2,FALSE),VLOOKUP($A29,Fragenkatalog!$A$1:$L$61,MATCH("Frage",Fragenkatalog!$1:$1,0),FALSE))),""),"")</f>
        <v>Sind alle Fragen der Autorenschaft geklärt?</v>
      </c>
      <c r="Q29" s="78" t="str">
        <f>VLOOKUP($A29,Fragenkatalog!$A$1:$L$61,MATCH(Q$26,Fragenkatalog!$1:$1,0),FALSE)</f>
        <v>Zu den Fragen der Autorenschaft zählen u.a.: Wer sind die involvierten Entwickler? Wie groß sind die jeweiligen Beiträge? Wurden Fragen der Vergütung usw. geklärt?</v>
      </c>
      <c r="U29" s="26"/>
      <c r="V29" s="54"/>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row>
    <row r="30" spans="1:62" ht="75.75" thickBot="1" x14ac:dyDescent="0.3">
      <c r="A30" s="124" t="s">
        <v>59</v>
      </c>
      <c r="B30" s="125" t="str">
        <f>VLOOKUP($A30,Fragenkatalog!$A$1:$L$61,MATCH(B$26,Fragenkatalog!$1:$1,0),FALSE)</f>
        <v>Ist die Autorenschaft gut dokumentiert?</v>
      </c>
      <c r="C30" s="126" t="str">
        <f>_xlfn.CONCAT("Nein: ",VLOOKUP($A30,Fragenkatalog!$A$1:$L$61,MATCH(C$13,Fragenkatalog!$1:$1,0),FALSE))</f>
        <v>Nein: Dokumente zur Autorenschaft und zu einzelnen Beiträgen liegen nicht vor.</v>
      </c>
      <c r="D30" s="126" t="str">
        <f>VLOOKUP($A30,Fragenkatalog!$A$1:$L$61,MATCH(D$26,Fragenkatalog!$1:$1,0),FALSE)</f>
        <v>Die Autorenschaft geht aus schriftlicher Kommunikation hervor.</v>
      </c>
      <c r="E30" s="126" t="str">
        <f>_xlfn.CONCAT("Ja: ",VLOOKUP($A30,Fragenkatalog!$A$1:$L$61,MATCH(E$13,Fragenkatalog!$1:$1,0),FALSE))</f>
        <v>Ja: Die Dokumentation ist ausreichend und verständlich.</v>
      </c>
      <c r="F30" s="85"/>
      <c r="G30" s="86"/>
      <c r="H30" s="86" t="s">
        <v>39</v>
      </c>
      <c r="I30" s="2">
        <f>IF(F30=LookupTabellen!$A$7,0,IFERROR(VLOOKUP(A30,Fragenkatalog!A:N,13,FALSE),""))</f>
        <v>1</v>
      </c>
      <c r="J30" s="2">
        <f>IF(OR(F30="",AND(G30="",F30&lt;&gt;LookupTabellen!$A$6,F30&lt;&gt;LookupTabellen!$A$7)),0,IFERROR(VLOOKUP(F30,LookupTabellen!$A$3:$B$7,2,FALSE)*VLOOKUP(A30,Fragenkatalog!A:N,13,FALSE),""))</f>
        <v>0</v>
      </c>
      <c r="K30" s="2">
        <f>IF(OR(F30="",AND(G30="",F30&lt;&gt;LookupTabellen!$A$6,F30&lt;&gt;LookupTabellen!$A$7)),0,IFERROR(VLOOKUP(F30,LookupTabellen!$A$3:$C$7,3,FALSE)*VLOOKUP(G30,LookupTabellen!$D$3:$F$5,3,FALSE)*VLOOKUP(A30,Fragenkatalog!A:N,13,FALSE),""))</f>
        <v>0</v>
      </c>
      <c r="L30" s="2">
        <f>IF(F30=LookupTabellen!$A$6,0,IFERROR(ABS(VLOOKUP(A30,Fragenkatalog!A:N,14,FALSE)),""))</f>
        <v>0.85</v>
      </c>
      <c r="M30" s="2" t="str">
        <f>IFERROR((IF(VLOOKUP(A30,Fragenkatalog!A:N,14,FALSE)&lt;0,-4,0)+VLOOKUP(F30,LookupTabellen!$A$3:$B$7,2,FALSE))*VLOOKUP(A30,Fragenkatalog!A:N,14,FALSE),"")</f>
        <v/>
      </c>
      <c r="N30" s="2">
        <f>IFERROR(VLOOKUP(G30,LookupTabellen!$D$3:$E$5,2,FALSE)*AND(H30&lt;&gt;"Antwort auswählen",F30&lt;&gt;LookupTabellen!$A$6,F30&lt;&gt;LookupTabellen!$A$7),0)</f>
        <v>0</v>
      </c>
      <c r="O30" s="1" t="str">
        <f>IF(F30=LookupTabellen!$A$3,IF(VLOOKUP($A30,Fragenkatalog!$A$1:$L$61,MATCH($C$13,Fragenkatalog!$1:$1,0),FALSE)=0,"",CONCATENATE(VLOOKUP(H30,LookupTabellen!$H$2:$I$3,2,FALSE),VLOOKUP($A30,Fragenkatalog!$A$1:$L$61,MATCH($C$13,Fragenkatalog!$1:$1,0),FALSE))),"")</f>
        <v/>
      </c>
      <c r="P30" s="2" t="str">
        <f>IF(O30="",IF(OR(F30=LookupTabellen!$A$6,F30="",G30=LookupTabellen!$D$3),IF(VLOOKUP($A30,Fragenkatalog!$A$1:$L$61,MATCH("Frage",Fragenkatalog!$1:$1,0),FALSE)=0,"",CONCATENATE(VLOOKUP(H30,LookupTabellen!$H$2:$I$3,2,FALSE),VLOOKUP($A30,Fragenkatalog!$A$1:$L$61,MATCH("Frage",Fragenkatalog!$1:$1,0),FALSE))),""),"")</f>
        <v>Ist die Autorenschaft gut dokumentiert?</v>
      </c>
      <c r="Q30" s="126" t="str">
        <f>VLOOKUP($A30,Fragenkatalog!$A$1:$L$61,MATCH(Q$26,Fragenkatalog!$1:$1,0),FALSE)</f>
        <v>Geht aus der Dokumentation hervor, wer an der Entwicklung beteiligt war/ist und wie groß der jeweilige Anteil/Beitrag zur Hardware war/ist? Hierbei ist auch die Form der Dokumentation entscheidend. Existieren lediglich mündliche Absprachen, kann dies nicht mit "gut" bewertet werden. Besser wäre es, wenn zumindest aus schriftlicher Kommunikation hervorgeht, wer was gemacht hat. Eine gute Dokumentation sollte bspw. in Form eines Repository oder einer Erfindungsmeldung vorliegen.</v>
      </c>
      <c r="U30" s="26"/>
      <c r="V30" s="54"/>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row>
    <row r="31" spans="1:62" ht="60.75" thickBot="1" x14ac:dyDescent="0.3">
      <c r="A31" s="75" t="s">
        <v>60</v>
      </c>
      <c r="B31" s="76" t="str">
        <f>VLOOKUP($A31,Fragenkatalog!$A$1:$L$61,MATCH(B$26,Fragenkatalog!$1:$1,0),FALSE)</f>
        <v>Verfügt das Entwicklerteam über genügend Ressourcen für die Verwertung?</v>
      </c>
      <c r="C31" s="77" t="str">
        <f>_xlfn.CONCAT("Nein: ",VLOOKUP($A31,Fragenkatalog!$A$1:$L$61,MATCH(C$13,Fragenkatalog!$1:$1,0),FALSE))</f>
        <v>Nein: Es fehlen sowohl Geld als auch Zeit.</v>
      </c>
      <c r="D31" s="77" t="str">
        <f>VLOOKUP($A31,Fragenkatalog!$A$1:$L$61,MATCH(D$26,Fragenkatalog!$1:$1,0),FALSE)</f>
        <v>Es fehlt entweder Geld oder Zeit.</v>
      </c>
      <c r="E31" s="77" t="str">
        <f>_xlfn.CONCAT("Ja: ",VLOOKUP($A31,Fragenkatalog!$A$1:$L$61,MATCH(E$13,Fragenkatalog!$1:$1,0),FALSE))</f>
        <v>Ja: Es sind ausreichend Res-sourcen vorhanden.</v>
      </c>
      <c r="F31" s="81"/>
      <c r="G31" s="82"/>
      <c r="H31" s="82" t="s">
        <v>39</v>
      </c>
      <c r="I31" s="2">
        <f>IF(F31=LookupTabellen!$A$7,0,IFERROR(VLOOKUP(A31,Fragenkatalog!A:N,13,FALSE),""))</f>
        <v>1</v>
      </c>
      <c r="J31" s="2">
        <f>IF(OR(F31="",AND(G31="",F31&lt;&gt;LookupTabellen!$A$6,F31&lt;&gt;LookupTabellen!$A$7)),0,IFERROR(VLOOKUP(F31,LookupTabellen!$A$3:$B$7,2,FALSE)*VLOOKUP(A31,Fragenkatalog!A:N,13,FALSE),""))</f>
        <v>0</v>
      </c>
      <c r="K31" s="2">
        <f>IF(OR(F31="",AND(G31="",F31&lt;&gt;LookupTabellen!$A$6,F31&lt;&gt;LookupTabellen!$A$7)),0,IFERROR(VLOOKUP(F31,LookupTabellen!$A$3:$C$7,3,FALSE)*VLOOKUP(G31,LookupTabellen!$D$3:$F$5,3,FALSE)*VLOOKUP(A31,Fragenkatalog!A:N,13,FALSE),""))</f>
        <v>0</v>
      </c>
      <c r="L31" s="2">
        <f>IF(F31=LookupTabellen!$A$6,0,IFERROR(ABS(VLOOKUP(A31,Fragenkatalog!A:N,14,FALSE)),""))</f>
        <v>0.85</v>
      </c>
      <c r="M31" s="2" t="str">
        <f>IFERROR((IF(VLOOKUP(A31,Fragenkatalog!A:N,14,FALSE)&lt;0,-4,0)+VLOOKUP(F31,LookupTabellen!$A$3:$B$7,2,FALSE))*VLOOKUP(A31,Fragenkatalog!A:N,14,FALSE),"")</f>
        <v/>
      </c>
      <c r="N31" s="2">
        <f>IFERROR(VLOOKUP(G31,LookupTabellen!$D$3:$E$5,2,FALSE)*AND(H31&lt;&gt;"Antwort auswählen",F31&lt;&gt;LookupTabellen!$A$6,F31&lt;&gt;LookupTabellen!$A$7),0)</f>
        <v>0</v>
      </c>
      <c r="O31" s="1" t="str">
        <f>IF(F31=LookupTabellen!$A$3,IF(VLOOKUP($A31,Fragenkatalog!$A$1:$L$61,MATCH($C$13,Fragenkatalog!$1:$1,0),FALSE)=0,"",CONCATENATE(VLOOKUP(H31,LookupTabellen!$H$2:$I$3,2,FALSE),VLOOKUP($A31,Fragenkatalog!$A$1:$L$61,MATCH($C$13,Fragenkatalog!$1:$1,0),FALSE))),"")</f>
        <v/>
      </c>
      <c r="P31" s="2" t="str">
        <f>IF(O31="",IF(OR(F31=LookupTabellen!$A$6,F31="",G31=LookupTabellen!$D$3),IF(VLOOKUP($A31,Fragenkatalog!$A$1:$L$61,MATCH("Frage",Fragenkatalog!$1:$1,0),FALSE)=0,"",CONCATENATE(VLOOKUP(H31,LookupTabellen!$H$2:$I$3,2,FALSE),VLOOKUP($A31,Fragenkatalog!$A$1:$L$61,MATCH("Frage",Fragenkatalog!$1:$1,0),FALSE))),""),"")</f>
        <v>Verfügt das Entwicklerteam über genügend Ressourcen für die Verwertung?</v>
      </c>
      <c r="Q31" s="78" t="str">
        <f>VLOOKUP($A31,Fragenkatalog!$A$1:$L$61,MATCH(Q$26,Fragenkatalog!$1:$1,0),FALSE)</f>
        <v>Ressourcen sind sowohl Zeit als auch Geld, die dem Team für die Entwicklung und Verwertung zur Verfügung stehen.</v>
      </c>
      <c r="U31" s="26"/>
      <c r="V31" s="54"/>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row>
    <row r="32" spans="1:62" ht="60.75" thickBot="1" x14ac:dyDescent="0.3">
      <c r="A32" s="124" t="s">
        <v>61</v>
      </c>
      <c r="B32" s="125" t="str">
        <f>VLOOKUP($A32,Fragenkatalog!$A$1:$L$61,MATCH(B$26,Fragenkatalog!$1:$1,0),FALSE)</f>
        <v>Verfügt das Entwicklerteam über die notwendigen Kompetenzen?</v>
      </c>
      <c r="C32" s="126" t="str">
        <f>_xlfn.CONCAT("Nein: ",VLOOKUP($A32,Fragenkatalog!$A$1:$L$61,MATCH(C$13,Fragenkatalog!$1:$1,0),FALSE))</f>
        <v>Nein: Es fehlen wichtige Kompetenzen.</v>
      </c>
      <c r="D32" s="126" t="str">
        <f>VLOOKUP($A32,Fragenkatalog!$A$1:$L$61,MATCH(D$26,Fragenkatalog!$1:$1,0),FALSE)</f>
        <v>Fehlende Kompetenzen können erworben werden.</v>
      </c>
      <c r="E32" s="126" t="str">
        <f>_xlfn.CONCAT("Ja: ",VLOOKUP($A32,Fragenkatalog!$A$1:$L$61,MATCH(E$13,Fragenkatalog!$1:$1,0),FALSE))</f>
        <v>Ja: Alle nötigen Kompetenzen sind vorhanden.</v>
      </c>
      <c r="F32" s="85"/>
      <c r="G32" s="86"/>
      <c r="H32" s="86" t="s">
        <v>39</v>
      </c>
      <c r="I32" s="2">
        <f>IF(F32=LookupTabellen!$A$7,0,IFERROR(VLOOKUP(A32,Fragenkatalog!A:N,13,FALSE),""))</f>
        <v>1</v>
      </c>
      <c r="J32" s="2">
        <f>IF(OR(F32="",AND(G32="",F32&lt;&gt;LookupTabellen!$A$6,F32&lt;&gt;LookupTabellen!$A$7)),0,IFERROR(VLOOKUP(F32,LookupTabellen!$A$3:$B$7,2,FALSE)*VLOOKUP(A32,Fragenkatalog!A:N,13,FALSE),""))</f>
        <v>0</v>
      </c>
      <c r="K32" s="2">
        <f>IF(OR(F32="",AND(G32="",F32&lt;&gt;LookupTabellen!$A$6,F32&lt;&gt;LookupTabellen!$A$7)),0,IFERROR(VLOOKUP(F32,LookupTabellen!$A$3:$C$7,3,FALSE)*VLOOKUP(G32,LookupTabellen!$D$3:$F$5,3,FALSE)*VLOOKUP(A32,Fragenkatalog!A:N,13,FALSE),""))</f>
        <v>0</v>
      </c>
      <c r="L32" s="2">
        <f>IF(F32=LookupTabellen!$A$6,0,IFERROR(ABS(VLOOKUP(A32,Fragenkatalog!A:N,14,FALSE)),""))</f>
        <v>0.85</v>
      </c>
      <c r="M32" s="2" t="str">
        <f>IFERROR((IF(VLOOKUP(A32,Fragenkatalog!A:N,14,FALSE)&lt;0,-4,0)+VLOOKUP(F32,LookupTabellen!$A$3:$B$7,2,FALSE))*VLOOKUP(A32,Fragenkatalog!A:N,14,FALSE),"")</f>
        <v/>
      </c>
      <c r="N32" s="2">
        <f>IFERROR(VLOOKUP(G32,LookupTabellen!$D$3:$E$5,2,FALSE)*AND(H32&lt;&gt;"Antwort auswählen",F32&lt;&gt;LookupTabellen!$A$6,F32&lt;&gt;LookupTabellen!$A$7),0)</f>
        <v>0</v>
      </c>
      <c r="O32" s="1" t="str">
        <f>IF(F32=LookupTabellen!$A$3,IF(VLOOKUP($A32,Fragenkatalog!$A$1:$L$61,MATCH($C$13,Fragenkatalog!$1:$1,0),FALSE)=0,"",CONCATENATE(VLOOKUP(H32,LookupTabellen!$H$2:$I$3,2,FALSE),VLOOKUP($A32,Fragenkatalog!$A$1:$L$61,MATCH($C$13,Fragenkatalog!$1:$1,0),FALSE))),"")</f>
        <v/>
      </c>
      <c r="P32" s="2" t="str">
        <f>IF(O32="",IF(OR(F32=LookupTabellen!$A$6,F32="",G32=LookupTabellen!$D$3),IF(VLOOKUP($A32,Fragenkatalog!$A$1:$L$61,MATCH("Frage",Fragenkatalog!$1:$1,0),FALSE)=0,"",CONCATENATE(VLOOKUP(H32,LookupTabellen!$H$2:$I$3,2,FALSE),VLOOKUP($A32,Fragenkatalog!$A$1:$L$61,MATCH("Frage",Fragenkatalog!$1:$1,0),FALSE))),""),"")</f>
        <v>Verfügt das Entwicklerteam über die notwendigen Kompetenzen?</v>
      </c>
      <c r="Q32" s="126" t="str">
        <f>VLOOKUP($A32,Fragenkatalog!$A$1:$L$61,MATCH(Q$26,Fragenkatalog!$1:$1,0),FALSE)</f>
        <v>Kompetenzen können sich auf die Entwicklung der Hardware (z.B. Kenntnisse zum Aufbau und der Funktionsweise oder auch theoretisches Wissen im Fachgebiet) oder auf die Verwertung (fehlendes Know-how über Rechte, Markt etc.) beziehen.</v>
      </c>
      <c r="U32" s="26"/>
      <c r="V32" s="54"/>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row>
    <row r="33" spans="1:62" ht="60.75" thickBot="1" x14ac:dyDescent="0.3">
      <c r="A33" s="75" t="s">
        <v>62</v>
      </c>
      <c r="B33" s="76" t="str">
        <f>VLOOKUP($A33,Fragenkatalog!$A$1:$L$61,MATCH(B$26,Fragenkatalog!$1:$1,0),FALSE)</f>
        <v>Ist das Entwicklerteam gut mit der Community und/oder Industrie vernetzt?</v>
      </c>
      <c r="C33" s="77" t="str">
        <f>_xlfn.CONCAT("Nein: ",VLOOKUP($A33,Fragenkatalog!$A$1:$L$61,MATCH(C$13,Fragenkatalog!$1:$1,0),FALSE))</f>
        <v>Nein: Es gibt keine Vernetzungen.</v>
      </c>
      <c r="D33" s="77" t="str">
        <f>VLOOKUP($A33,Fragenkatalog!$A$1:$L$61,MATCH(D$26,Fragenkatalog!$1:$1,0),FALSE)</f>
        <v>Das Entwicklerteam ist in die Forschungscommunity oder in die Industrie integriert.</v>
      </c>
      <c r="E33" s="77" t="str">
        <f>_xlfn.CONCAT("Ja: ",VLOOKUP($A33,Fragenkatalog!$A$1:$L$61,MATCH(E$13,Fragenkatalog!$1:$1,0),FALSE))</f>
        <v>Ja: Das Entwicklerteam ist in beide Bereiche gut integriert.</v>
      </c>
      <c r="F33" s="81"/>
      <c r="G33" s="82"/>
      <c r="H33" s="82" t="s">
        <v>39</v>
      </c>
      <c r="I33" s="2">
        <f>IF(F33=LookupTabellen!$A$7,0,IFERROR(VLOOKUP(A33,Fragenkatalog!A:N,13,FALSE),""))</f>
        <v>1</v>
      </c>
      <c r="J33" s="2">
        <f>IF(OR(F33="",AND(G33="",F33&lt;&gt;LookupTabellen!$A$6,F33&lt;&gt;LookupTabellen!$A$7)),0,IFERROR(VLOOKUP(F33,LookupTabellen!$A$3:$B$7,2,FALSE)*VLOOKUP(A33,Fragenkatalog!A:N,13,FALSE),""))</f>
        <v>0</v>
      </c>
      <c r="K33" s="2">
        <f>IF(OR(F33="",AND(G33="",F33&lt;&gt;LookupTabellen!$A$6,F33&lt;&gt;LookupTabellen!$A$7)),0,IFERROR(VLOOKUP(F33,LookupTabellen!$A$3:$C$7,3,FALSE)*VLOOKUP(G33,LookupTabellen!$D$3:$F$5,3,FALSE)*VLOOKUP(A33,Fragenkatalog!A:N,13,FALSE),""))</f>
        <v>0</v>
      </c>
      <c r="L33" s="2">
        <f>IF(F33=LookupTabellen!$A$6,0,IFERROR(ABS(VLOOKUP(A33,Fragenkatalog!A:N,14,FALSE)),""))</f>
        <v>0.5</v>
      </c>
      <c r="M33" s="2" t="str">
        <f>IFERROR((IF(VLOOKUP(A33,Fragenkatalog!A:N,14,FALSE)&lt;0,-4,0)+VLOOKUP(F33,LookupTabellen!$A$3:$B$7,2,FALSE))*VLOOKUP(A33,Fragenkatalog!A:N,14,FALSE),"")</f>
        <v/>
      </c>
      <c r="N33" s="2">
        <f>IFERROR(VLOOKUP(G33,LookupTabellen!$D$3:$E$5,2,FALSE)*AND(H33&lt;&gt;"Antwort auswählen",F33&lt;&gt;LookupTabellen!$A$6,F33&lt;&gt;LookupTabellen!$A$7),0)</f>
        <v>0</v>
      </c>
      <c r="O33" s="1" t="str">
        <f>IF(F33=LookupTabellen!$A$3,IF(VLOOKUP($A33,Fragenkatalog!$A$1:$L$61,MATCH($C$13,Fragenkatalog!$1:$1,0),FALSE)=0,"",CONCATENATE(VLOOKUP(H33,LookupTabellen!$H$2:$I$3,2,FALSE),VLOOKUP($A33,Fragenkatalog!$A$1:$L$61,MATCH($C$13,Fragenkatalog!$1:$1,0),FALSE))),"")</f>
        <v/>
      </c>
      <c r="P33" s="2" t="str">
        <f>IF(O33="",IF(OR(F33=LookupTabellen!$A$6,F33="",G33=LookupTabellen!$D$3),IF(VLOOKUP($A33,Fragenkatalog!$A$1:$L$61,MATCH("Frage",Fragenkatalog!$1:$1,0),FALSE)=0,"",CONCATENATE(VLOOKUP(H33,LookupTabellen!$H$2:$I$3,2,FALSE),VLOOKUP($A33,Fragenkatalog!$A$1:$L$61,MATCH("Frage",Fragenkatalog!$1:$1,0),FALSE))),""),"")</f>
        <v>Ist das Entwicklerteam gut mit der Community und/oder Industrie vernetzt?</v>
      </c>
      <c r="Q33" s="78" t="str">
        <f>VLOOKUP($A33,Fragenkatalog!$A$1:$L$61,MATCH(Q$26,Fragenkatalog!$1:$1,0),FALSE)</f>
        <v>Anerkennung/Etablierung im relevanten Gebiet, Unterstützung und Kontakte zu Industrie, ggfs. Vertriebsnetze (direkte Kontakte aus dem Bereich der Entwicklerschaft/Lehrstuhlinhaber usw.).</v>
      </c>
      <c r="U33" s="26"/>
      <c r="V33" s="54"/>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row>
    <row r="34" spans="1:62" ht="24" thickBot="1" x14ac:dyDescent="0.3">
      <c r="A34" s="51"/>
      <c r="B34" s="51"/>
      <c r="C34" s="51"/>
      <c r="D34" s="51"/>
      <c r="E34" s="127">
        <f>IFERROR(SUM(K27:K33)/SUM(I27:I33),0)</f>
        <v>0</v>
      </c>
      <c r="F34" s="128">
        <f>IFERROR(SUM(J27:J33)/SUM(I27:I33),0)</f>
        <v>0</v>
      </c>
      <c r="G34" s="128">
        <f>IFERROR(SUM(N27:N33)/(COUNTIF(F27:F33,"&lt;&gt;nicht relevant")),"Bewertung nicht möglich")</f>
        <v>0</v>
      </c>
      <c r="Q34" s="1"/>
      <c r="U34" s="26"/>
      <c r="V34" s="54"/>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row>
    <row r="35" spans="1:62" ht="15.75" thickBot="1" x14ac:dyDescent="0.3">
      <c r="A35" s="51"/>
      <c r="B35" s="51"/>
      <c r="C35" s="51"/>
      <c r="D35" s="51"/>
      <c r="E35" s="79" t="s">
        <v>48</v>
      </c>
      <c r="F35" s="79" t="s">
        <v>49</v>
      </c>
      <c r="G35" s="79" t="s">
        <v>7</v>
      </c>
      <c r="H35" s="51"/>
      <c r="I35" s="51"/>
      <c r="J35" s="51"/>
      <c r="K35" s="51"/>
      <c r="L35" s="51"/>
      <c r="M35" s="51"/>
      <c r="N35" s="51"/>
      <c r="O35" s="51"/>
      <c r="P35" s="51"/>
      <c r="Q35" s="51"/>
      <c r="U35" s="26"/>
      <c r="V35" s="54"/>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row>
    <row r="36" spans="1:62" ht="27" thickBot="1" x14ac:dyDescent="0.3">
      <c r="A36" s="177" t="s">
        <v>63</v>
      </c>
      <c r="B36" s="178"/>
      <c r="C36" s="178"/>
      <c r="D36" s="178"/>
      <c r="E36" s="178"/>
      <c r="F36" s="178"/>
      <c r="G36" s="178"/>
      <c r="H36" s="178"/>
      <c r="I36" s="178"/>
      <c r="J36" s="178"/>
      <c r="K36" s="178"/>
      <c r="L36" s="178"/>
      <c r="M36" s="178"/>
      <c r="N36" s="178"/>
      <c r="O36" s="178"/>
      <c r="P36" s="178"/>
      <c r="Q36" s="178"/>
      <c r="R36" s="54"/>
      <c r="S36" s="54"/>
      <c r="T36" s="54"/>
      <c r="U36" s="54" t="str">
        <f>IF(G36=LookupTabellen!$D$3,IF(VLOOKUP($A36,Fragenkatalog!$A$1:$L$61,MATCH("Frage",Fragenkatalog!$1:$1,0),FALSE)=0,"",VLOOKUP($A36,Fragenkatalog!$A$1:$L$61,MATCH("Frage",Fragenkatalog!$1:$1,0),FALSE)),"")</f>
        <v/>
      </c>
      <c r="V36" s="54"/>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row>
    <row r="37" spans="1:62" ht="63.75" thickBot="1" x14ac:dyDescent="0.3">
      <c r="A37" s="140" t="s">
        <v>21</v>
      </c>
      <c r="B37" s="141" t="s">
        <v>22</v>
      </c>
      <c r="C37" s="141" t="s">
        <v>23</v>
      </c>
      <c r="D37" s="141" t="s">
        <v>24</v>
      </c>
      <c r="E37" s="141" t="s">
        <v>25</v>
      </c>
      <c r="F37" s="142" t="s">
        <v>51</v>
      </c>
      <c r="G37" s="142" t="s">
        <v>52</v>
      </c>
      <c r="H37" s="142" t="s">
        <v>53</v>
      </c>
      <c r="I37" s="143" t="s">
        <v>29</v>
      </c>
      <c r="J37" s="143" t="s">
        <v>30</v>
      </c>
      <c r="K37" s="143" t="s">
        <v>31</v>
      </c>
      <c r="L37" s="143" t="s">
        <v>54</v>
      </c>
      <c r="M37" s="143" t="s">
        <v>55</v>
      </c>
      <c r="N37" s="143" t="s">
        <v>34</v>
      </c>
      <c r="O37" s="143" t="s">
        <v>35</v>
      </c>
      <c r="P37" s="143" t="s">
        <v>36</v>
      </c>
      <c r="Q37" s="141" t="s">
        <v>37</v>
      </c>
      <c r="U37" s="26"/>
      <c r="V37" s="54"/>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row>
    <row r="38" spans="1:62" ht="75.75" thickBot="1" x14ac:dyDescent="0.3">
      <c r="A38" s="75" t="s">
        <v>64</v>
      </c>
      <c r="B38" s="76" t="str">
        <f>VLOOKUP($A38,Fragenkatalog!$A$1:$L$61,MATCH(B$37,Fragenkatalog!$1:$1,0),FALSE)</f>
        <v>Passt die Verwertung der Hardware zur strategischen Ausrichtung der Einrichtung?</v>
      </c>
      <c r="C38" s="77" t="str">
        <f>_xlfn.CONCAT("Nein: ",VLOOKUP($A38,Fragenkatalog!$A$1:$L$61,MATCH(C$13,Fragenkatalog!$1:$1,0),FALSE))</f>
        <v>Nein: Die Verwertung passt nicht zur strategischen Ausrichtung der Einrichtung.</v>
      </c>
      <c r="D38" s="77" t="str">
        <f>VLOOKUP($A38,Fragenkatalog!$A$1:$L$61,MATCH(D$13,Fragenkatalog!$1:$1,0),FALSE)</f>
        <v>Die Hardware passt nur bedingt zur Einrichtung und/oder es besteht ein Interesse an der Verwertung.</v>
      </c>
      <c r="E38" s="77" t="str">
        <f>_xlfn.CONCAT("Ja: ",VLOOKUP($A38,Fragenkatalog!$A$1:$L$61,MATCH(E$13,Fragenkatalog!$1:$1,0),FALSE))</f>
        <v>Ja: Die Hardware passt in das Portfolio der Einrichtung und soll verwertet werden.</v>
      </c>
      <c r="F38" s="81"/>
      <c r="G38" s="82"/>
      <c r="H38" s="82" t="s">
        <v>39</v>
      </c>
      <c r="I38" s="2">
        <f>IF(F38=LookupTabellen!$A$7,0,IFERROR(VLOOKUP(A38,Fragenkatalog!A:N,13,FALSE),""))</f>
        <v>1</v>
      </c>
      <c r="J38" s="2">
        <f>IF(OR(F38="",AND(G38="",F38&lt;&gt;LookupTabellen!$A$6,F38&lt;&gt;LookupTabellen!$A$7)),0,IFERROR(VLOOKUP(F38,LookupTabellen!$A$3:$B$7,2,FALSE)*VLOOKUP(A38,Fragenkatalog!A:N,13,FALSE),""))</f>
        <v>0</v>
      </c>
      <c r="K38" s="2">
        <f>IF(OR(F38="",AND(G38="",F38&lt;&gt;LookupTabellen!$A$6,F38&lt;&gt;LookupTabellen!$A$7)),0,IFERROR(VLOOKUP(F38,LookupTabellen!$A$3:$C$7,3,FALSE)*VLOOKUP(G38,LookupTabellen!$D$3:$F$5,3,FALSE)*VLOOKUP(A38,Fragenkatalog!A:N,13,FALSE),""))</f>
        <v>0</v>
      </c>
      <c r="L38" s="2">
        <f>IF(F38=LookupTabellen!$A$6,0,IFERROR(ABS(VLOOKUP(A38,Fragenkatalog!A:N,14,FALSE)),""))</f>
        <v>0.1</v>
      </c>
      <c r="M38" s="2" t="str">
        <f>IFERROR((IF(VLOOKUP(A38,Fragenkatalog!A:N,14,FALSE)&lt;0,-4,0)+VLOOKUP(F38,LookupTabellen!$A$3:$B$7,2,FALSE))*VLOOKUP(A38,Fragenkatalog!A:N,14,FALSE),"")</f>
        <v/>
      </c>
      <c r="N38" s="2">
        <f>IFERROR(VLOOKUP(G38,LookupTabellen!$D$3:$E$5,2,FALSE)*AND(H38&lt;&gt;"Antwort auswählen",F38&lt;&gt;LookupTabellen!$A$6,F38&lt;&gt;LookupTabellen!$A$7),0)</f>
        <v>0</v>
      </c>
      <c r="O38" s="1" t="str">
        <f>IF(F38=LookupTabellen!$A$3,IF(VLOOKUP($A38,Fragenkatalog!$A$1:$L$61,MATCH($C$13,Fragenkatalog!$1:$1,0),FALSE)=0,"",CONCATENATE(VLOOKUP(H38,LookupTabellen!$H$2:$I$3,2,FALSE),VLOOKUP($A38,Fragenkatalog!$A$1:$L$61,MATCH($C$13,Fragenkatalog!$1:$1,0),FALSE))),"")</f>
        <v/>
      </c>
      <c r="P38" s="2" t="str">
        <f>IF(O38="",IF(OR(F38=LookupTabellen!$A$6,F38="",G38=LookupTabellen!$D$3),IF(VLOOKUP($A38,Fragenkatalog!$A$1:$L$61,MATCH("Frage",Fragenkatalog!$1:$1,0),FALSE)=0,"",CONCATENATE(VLOOKUP(H38,LookupTabellen!$H$2:$I$3,2,FALSE),VLOOKUP($A38,Fragenkatalog!$A$1:$L$61,MATCH("Frage",Fragenkatalog!$1:$1,0),FALSE))),""),"")</f>
        <v>Passt die Verwertung der Hardware zur strategischen Ausrichtung der Einrichtung?</v>
      </c>
      <c r="Q38" s="78" t="str">
        <f>VLOOKUP($A38,Fragenkatalog!$A$1:$L$61,MATCH(Q$13,Fragenkatalog!$1:$1,0),FALSE)</f>
        <v>Aus verschiedenen Gründen kann die Verwertung der Hardware nicht zur Einrichtung passen oder kein Interesse an der Verwertung seitens der Einrichtung bestehen. Gründe können sein: die Verwertung passt nicht ins bestehende Portfolio, schränkt zukünftige Forschungsaktivitäten ein (z.B. durch den Wegfall von Know-how), bedient einen Markt, der nicht von der Einrichtung gewünscht ist (z.B. militärische Nutzung) oder hat nichts mit der Ausrichtung der Einrichtung generell zu tun.</v>
      </c>
      <c r="U38" s="26"/>
      <c r="V38" s="54"/>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row>
    <row r="39" spans="1:62" ht="75.75" thickBot="1" x14ac:dyDescent="0.3">
      <c r="A39" s="146" t="s">
        <v>65</v>
      </c>
      <c r="B39" s="147" t="str">
        <f>VLOOKUP($A39,Fragenkatalog!$A$1:$L$61,MATCH(B$37,Fragenkatalog!$1:$1,0),FALSE)</f>
        <v>Passen die Vorstellungen von Team und Einrichtung bzgl. der Hardwareverwertung zusammen?</v>
      </c>
      <c r="C39" s="148" t="str">
        <f>_xlfn.CONCAT("Nein: ",VLOOKUP($A39,Fragenkatalog!$A$1:$L$61,MATCH(C$13,Fragenkatalog!$1:$1,0),FALSE))</f>
        <v>Nein: Die Vorstellungen passen nicht zusammen und keine der beiden Seiten ist kompromissbereit.</v>
      </c>
      <c r="D39" s="148" t="str">
        <f>VLOOKUP($A39,Fragenkatalog!$A$1:$L$61,MATCH(D$37,Fragenkatalog!$1:$1,0),FALSE)</f>
        <v>Die Vorstellungen passen nicht zusammen, die Einrichtung ist aber kompromissbereit.</v>
      </c>
      <c r="E39" s="148" t="str">
        <f>_xlfn.CONCAT("Ja: ",VLOOKUP($A39,Fragenkatalog!$A$1:$L$61,MATCH(E$13,Fragenkatalog!$1:$1,0),FALSE))</f>
        <v>Ja: Die Vorstellungen passen zusammen.</v>
      </c>
      <c r="F39" s="87"/>
      <c r="G39" s="88"/>
      <c r="H39" s="88" t="s">
        <v>39</v>
      </c>
      <c r="I39" s="2">
        <f>IF(F39=LookupTabellen!$A$7,0,IFERROR(VLOOKUP(A39,Fragenkatalog!A:N,13,FALSE),""))</f>
        <v>1</v>
      </c>
      <c r="J39" s="2">
        <f>IF(OR(F39="",AND(G39="",F39&lt;&gt;LookupTabellen!$A$6,F39&lt;&gt;LookupTabellen!$A$7)),0,IFERROR(VLOOKUP(F39,LookupTabellen!$A$3:$B$7,2,FALSE)*VLOOKUP(A39,Fragenkatalog!A:N,13,FALSE),""))</f>
        <v>0</v>
      </c>
      <c r="K39" s="2">
        <f>IF(OR(F39="",AND(G39="",F39&lt;&gt;LookupTabellen!$A$6,F39&lt;&gt;LookupTabellen!$A$7)),0,IFERROR(VLOOKUP(F39,LookupTabellen!$A$3:$C$7,3,FALSE)*VLOOKUP(G39,LookupTabellen!$D$3:$F$5,3,FALSE)*VLOOKUP(A39,Fragenkatalog!A:N,13,FALSE),""))</f>
        <v>0</v>
      </c>
      <c r="L39" s="2">
        <f>IF(F39=LookupTabellen!$A$6,0,IFERROR(ABS(VLOOKUP(A39,Fragenkatalog!A:N,14,FALSE)),""))</f>
        <v>0.8</v>
      </c>
      <c r="M39" s="2" t="str">
        <f>IFERROR((IF(VLOOKUP(A39,Fragenkatalog!A:N,14,FALSE)&lt;0,-4,0)+VLOOKUP(F39,LookupTabellen!$A$3:$B$7,2,FALSE))*VLOOKUP(A39,Fragenkatalog!A:N,14,FALSE),"")</f>
        <v/>
      </c>
      <c r="N39" s="2">
        <f>IFERROR(VLOOKUP(G39,LookupTabellen!$D$3:$E$5,2,FALSE)*AND(H39&lt;&gt;"Antwort auswählen",F39&lt;&gt;LookupTabellen!$A$6,F39&lt;&gt;LookupTabellen!$A$7),0)</f>
        <v>0</v>
      </c>
      <c r="O39" s="1" t="str">
        <f>IF(F39=LookupTabellen!$A$3,IF(VLOOKUP($A39,Fragenkatalog!$A$1:$L$61,MATCH($C$13,Fragenkatalog!$1:$1,0),FALSE)=0,"",CONCATENATE(VLOOKUP(H39,LookupTabellen!$H$2:$I$3,2,FALSE),VLOOKUP($A39,Fragenkatalog!$A$1:$L$61,MATCH($C$13,Fragenkatalog!$1:$1,0),FALSE))),"")</f>
        <v/>
      </c>
      <c r="P39" s="2" t="str">
        <f>IF(O39="",IF(OR(F39=LookupTabellen!$A$6,F39="",G39=LookupTabellen!$D$3),IF(VLOOKUP($A39,Fragenkatalog!$A$1:$L$61,MATCH("Frage",Fragenkatalog!$1:$1,0),FALSE)=0,"",CONCATENATE(VLOOKUP(H39,LookupTabellen!$H$2:$I$3,2,FALSE),VLOOKUP($A39,Fragenkatalog!$A$1:$L$61,MATCH("Frage",Fragenkatalog!$1:$1,0),FALSE))),""),"")</f>
        <v>Passen die Vorstellungen von Team und Einrichtung bzgl. der Hardwareverwertung zusammen?</v>
      </c>
      <c r="Q39" s="149" t="str">
        <f>VLOOKUP($A39,Fragenkatalog!$A$1:$L$61,MATCH(Q$37,Fragenkatalog!$1:$1,0),FALSE)</f>
        <v>Haben Einrichtung und Entwicklerteam die gleichen Erwartungen bzgl. der Verwertung der Hardware? Möchte die Einrichtung die Hardware z.B. kommerziell verwerten, das Team jedoch als Open Source veröffentlichen, dann entsteht ein Mehraufwand für die Vermittlung beider Seiten. Ausschlaggebend ist weiterhin, wie aufgeschlossen die Einrichtung/Lehrstuhl für Kompromisse ist.</v>
      </c>
      <c r="U39" s="26"/>
      <c r="V39" s="54"/>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row>
    <row r="40" spans="1:62" ht="45.75" thickBot="1" x14ac:dyDescent="0.3">
      <c r="A40" s="75" t="s">
        <v>66</v>
      </c>
      <c r="B40" s="76" t="str">
        <f>VLOOKUP($A40,Fragenkatalog!$A$1:$L$61,MATCH(B$37,Fragenkatalog!$1:$1,0),FALSE)</f>
        <v>Liegen alle Nutzungs- und Verwertungsrechte bei der Einrichtung?</v>
      </c>
      <c r="C40" s="77" t="str">
        <f>_xlfn.CONCAT("Nein: ",VLOOKUP($A40,Fragenkatalog!$A$1:$L$61,MATCH(C$13,Fragenkatalog!$1:$1,0),FALSE))</f>
        <v>Nein: Nicht alle Rechte liegen bei der Einrichtung.</v>
      </c>
      <c r="D40" s="77" t="str">
        <f>VLOOKUP($A40,Fragenkatalog!$A$1:$L$61,MATCH(D$37,Fragenkatalog!$1:$1,0),FALSE)</f>
        <v>Rechte können noch erworben oder geklärt werden.</v>
      </c>
      <c r="E40" s="77" t="str">
        <f>_xlfn.CONCAT("Ja: ",VLOOKUP($A40,Fragenkatalog!$A$1:$L$61,MATCH(E$13,Fragenkatalog!$1:$1,0),FALSE))</f>
        <v>Ja: Die Einrichtung besitzt alle Nutzungs- und Verwertungsrechte.</v>
      </c>
      <c r="F40" s="81"/>
      <c r="G40" s="82"/>
      <c r="H40" s="82" t="s">
        <v>39</v>
      </c>
      <c r="I40" s="2">
        <f>IF(F40=LookupTabellen!$A$7,0,IFERROR(VLOOKUP(A40,Fragenkatalog!A:N,13,FALSE),""))</f>
        <v>1</v>
      </c>
      <c r="J40" s="2">
        <f>IF(OR(F40="",AND(G40="",F40&lt;&gt;LookupTabellen!$A$6,F40&lt;&gt;LookupTabellen!$A$7)),0,IFERROR(VLOOKUP(F40,LookupTabellen!$A$3:$B$7,2,FALSE)*VLOOKUP(A40,Fragenkatalog!A:N,13,FALSE),""))</f>
        <v>0</v>
      </c>
      <c r="K40" s="2">
        <f>IF(OR(F40="",AND(G40="",F40&lt;&gt;LookupTabellen!$A$6,F40&lt;&gt;LookupTabellen!$A$7)),0,IFERROR(VLOOKUP(F40,LookupTabellen!$A$3:$C$7,3,FALSE)*VLOOKUP(G40,LookupTabellen!$D$3:$F$5,3,FALSE)*VLOOKUP(A40,Fragenkatalog!A:N,13,FALSE),""))</f>
        <v>0</v>
      </c>
      <c r="L40" s="2">
        <f>IF(F40=LookupTabellen!$A$6,0,IFERROR(ABS(VLOOKUP(A40,Fragenkatalog!A:N,14,FALSE)),""))</f>
        <v>0.5</v>
      </c>
      <c r="M40" s="2" t="str">
        <f>IFERROR((IF(VLOOKUP(A40,Fragenkatalog!A:N,14,FALSE)&lt;0,-4,0)+VLOOKUP(F40,LookupTabellen!$A$3:$B$7,2,FALSE))*VLOOKUP(A40,Fragenkatalog!A:N,14,FALSE),"")</f>
        <v/>
      </c>
      <c r="N40" s="2">
        <f>IFERROR(VLOOKUP(G40,LookupTabellen!$D$3:$E$5,2,FALSE)*AND(H40&lt;&gt;"Antwort auswählen",F40&lt;&gt;LookupTabellen!$A$6,F40&lt;&gt;LookupTabellen!$A$7),0)</f>
        <v>0</v>
      </c>
      <c r="O40" s="1" t="str">
        <f>IF(F40=LookupTabellen!$A$3,IF(VLOOKUP($A40,Fragenkatalog!$A$1:$L$61,MATCH($C$13,Fragenkatalog!$1:$1,0),FALSE)=0,"",CONCATENATE(VLOOKUP(H40,LookupTabellen!$H$2:$I$3,2,FALSE),VLOOKUP($A40,Fragenkatalog!$A$1:$L$61,MATCH($C$13,Fragenkatalog!$1:$1,0),FALSE))),"")</f>
        <v/>
      </c>
      <c r="P40" s="2" t="str">
        <f>IF(O40="",IF(OR(F40=LookupTabellen!$A$6,F40="",G40=LookupTabellen!$D$3),IF(VLOOKUP($A40,Fragenkatalog!$A$1:$L$61,MATCH("Frage",Fragenkatalog!$1:$1,0),FALSE)=0,"",CONCATENATE(VLOOKUP(H40,LookupTabellen!$H$2:$I$3,2,FALSE),VLOOKUP($A40,Fragenkatalog!$A$1:$L$61,MATCH("Frage",Fragenkatalog!$1:$1,0),FALSE))),""),"")</f>
        <v>Liegen alle Nutzungs- und Verwertungsrechte bei der Einrichtung?</v>
      </c>
      <c r="Q40" s="78" t="str">
        <f>VLOOKUP($A40,Fragenkatalog!$A$1:$L$61,MATCH(Q$37,Fragenkatalog!$1:$1,0),FALSE)</f>
        <v>Für eine Verwertung durch die Einrichtung ist es notwendig, dass alle Rechte bei der Einrichtung liegen. Ist dies nicht der Fall oder noch unklar, dann müssen diese Rechte wenn möglich über Lizenzen oder Kauf erworben werden.</v>
      </c>
      <c r="U40" s="26"/>
      <c r="V40" s="54"/>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row>
    <row r="41" spans="1:62" ht="150.75" thickBot="1" x14ac:dyDescent="0.3">
      <c r="A41" s="146" t="s">
        <v>67</v>
      </c>
      <c r="B41" s="147" t="str">
        <f>VLOOKUP($A41,Fragenkatalog!$A$1:$L$61,MATCH(B$37,Fragenkatalog!$1:$1,0),FALSE)</f>
        <v>Ist eine Verwertung der Hardware trotz bestehender Rahmenverträge (Auftragsforschung, FuE-Projekt, Kooperationsverträge, Verpflichtungen aufgrund staatlicher Unterstützung) möglich?</v>
      </c>
      <c r="C41" s="148" t="str">
        <f>_xlfn.CONCAT("Nein: ",VLOOKUP($A41,Fragenkatalog!$A$1:$L$61,MATCH(C$13,Fragenkatalog!$1:$1,0),FALSE))</f>
        <v>Nein: Eine Verwertung wird durch bestehende Verträge explizit ausgeschlossen.</v>
      </c>
      <c r="D41" s="148" t="str">
        <f>VLOOKUP($A41,Fragenkatalog!$A$1:$L$61,MATCH(D$37,Fragenkatalog!$1:$1,0),FALSE)</f>
        <v>Die Verwertungsmodalitäten müssen noch mit den Kooperationspartnern, Geldgebern usw. geklärt werden.</v>
      </c>
      <c r="E41" s="148" t="str">
        <f>_xlfn.CONCAT("Ja: ",VLOOKUP($A41,Fragenkatalog!$A$1:$L$61,MATCH(E$13,Fragenkatalog!$1:$1,0),FALSE))</f>
        <v>Ja: Die Verwertung ist ausdrücklich erlaubt.</v>
      </c>
      <c r="F41" s="87"/>
      <c r="G41" s="88"/>
      <c r="H41" s="88" t="s">
        <v>39</v>
      </c>
      <c r="I41" s="2">
        <f>IF(F41=LookupTabellen!$A$7,0,IFERROR(VLOOKUP(A41,Fragenkatalog!A:N,13,FALSE),""))</f>
        <v>1</v>
      </c>
      <c r="J41" s="2">
        <f>IF(OR(F41="",AND(G41="",F41&lt;&gt;LookupTabellen!$A$6,F41&lt;&gt;LookupTabellen!$A$7)),0,IFERROR(VLOOKUP(F41,LookupTabellen!$A$3:$B$7,2,FALSE)*VLOOKUP(A41,Fragenkatalog!A:N,13,FALSE),""))</f>
        <v>0</v>
      </c>
      <c r="K41" s="2">
        <f>IF(OR(F41="",AND(G41="",F41&lt;&gt;LookupTabellen!$A$6,F41&lt;&gt;LookupTabellen!$A$7)),0,IFERROR(VLOOKUP(F41,LookupTabellen!$A$3:$C$7,3,FALSE)*VLOOKUP(G41,LookupTabellen!$D$3:$F$5,3,FALSE)*VLOOKUP(A41,Fragenkatalog!A:N,13,FALSE),""))</f>
        <v>0</v>
      </c>
      <c r="L41" s="2">
        <f>IF(F41=LookupTabellen!$A$6,0,IFERROR(ABS(VLOOKUP(A41,Fragenkatalog!A:N,14,FALSE)),""))</f>
        <v>1</v>
      </c>
      <c r="M41" s="2" t="str">
        <f>IFERROR((IF(VLOOKUP(A41,Fragenkatalog!A:N,14,FALSE)&lt;0,-4,0)+VLOOKUP(F41,LookupTabellen!$A$3:$B$7,2,FALSE))*VLOOKUP(A41,Fragenkatalog!A:N,14,FALSE),"")</f>
        <v/>
      </c>
      <c r="N41" s="2">
        <f>IFERROR(VLOOKUP(G41,LookupTabellen!$D$3:$E$5,2,FALSE)*AND(H41&lt;&gt;"Antwort auswählen",F41&lt;&gt;LookupTabellen!$A$6,F41&lt;&gt;LookupTabellen!$A$7),0)</f>
        <v>0</v>
      </c>
      <c r="O41" s="1" t="str">
        <f>IF(F41=LookupTabellen!$A$3,IF(VLOOKUP($A41,Fragenkatalog!$A$1:$L$61,MATCH($C$13,Fragenkatalog!$1:$1,0),FALSE)=0,"",CONCATENATE(VLOOKUP(H41,LookupTabellen!$H$2:$I$3,2,FALSE),VLOOKUP($A41,Fragenkatalog!$A$1:$L$61,MATCH($C$13,Fragenkatalog!$1:$1,0),FALSE))),"")</f>
        <v/>
      </c>
      <c r="P41" s="2" t="str">
        <f>IF(O41="",IF(OR(F41=LookupTabellen!$A$6,F41="",G41=LookupTabellen!$D$3),IF(VLOOKUP($A41,Fragenkatalog!$A$1:$L$61,MATCH("Frage",Fragenkatalog!$1:$1,0),FALSE)=0,"",CONCATENATE(VLOOKUP(H41,LookupTabellen!$H$2:$I$3,2,FALSE),VLOOKUP($A41,Fragenkatalog!$A$1:$L$61,MATCH("Frage",Fragenkatalog!$1:$1,0),FALSE))),""),"")</f>
        <v>Ist eine Verwertung der Hardware trotz bestehender Rahmenverträge (Auftragsforschung, FuE-Projekt, Kooperationsverträge, Verpflichtungen aufgrund staatlicher Unterstützung) möglich?</v>
      </c>
      <c r="Q41" s="149" t="str">
        <f>VLOOKUP($A41,Fragenkatalog!$A$1:$L$61,MATCH(Q$37,Fragenkatalog!$1:$1,0),FALSE)</f>
        <v>Entwicklung und Verwertung der Hardware können durch bestehende Verträge oder Kooperationen erlaubt oder ausgeschlossen sein. Ist eine Verwertung ausgeschlossen, dann ist zu prüfen, was dennoch an Verwertung möglich ist.</v>
      </c>
      <c r="U41" s="26"/>
      <c r="V41" s="54"/>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row>
    <row r="42" spans="1:62" ht="75.75" thickBot="1" x14ac:dyDescent="0.3">
      <c r="A42" s="75" t="s">
        <v>68</v>
      </c>
      <c r="B42" s="76" t="str">
        <f>VLOOKUP($A42,Fragenkatalog!$A$1:$L$61,MATCH(B$37,Fragenkatalog!$1:$1,0),FALSE)</f>
        <v>Kann die Einrichtung Ressourcen für Betrieb, Wartung und Support der Hardware zur Verfügung zu stellen?</v>
      </c>
      <c r="C42" s="77" t="str">
        <f>_xlfn.CONCAT("Nein: ",VLOOKUP($A42,Fragenkatalog!$A$1:$L$61,MATCH(C$13,Fragenkatalog!$1:$1,0),FALSE))</f>
        <v>Nein: Die Einrichtung kann keine Ressourcen zur Verfügung stellen.</v>
      </c>
      <c r="D42" s="77" t="str">
        <f>VLOOKUP($A42,Fragenkatalog!$A$1:$L$61,MATCH(D$37,Fragenkatalog!$1:$1,0),FALSE)</f>
        <v>Die Einrichtung kann nur einen Teil der notwendigen Ressourcen bereitstellen.</v>
      </c>
      <c r="E42" s="77" t="str">
        <f>_xlfn.CONCAT("Ja: ",VLOOKUP($A42,Fragenkatalog!$A$1:$L$61,MATCH(E$13,Fragenkatalog!$1:$1,0),FALSE))</f>
        <v>Ja: Die Einrichtung kann entsprechende Ressourcen bereitstellen.</v>
      </c>
      <c r="F42" s="81"/>
      <c r="G42" s="82"/>
      <c r="H42" s="82" t="s">
        <v>39</v>
      </c>
      <c r="I42" s="2">
        <f>IF(F42=LookupTabellen!$A$7,0,IFERROR(VLOOKUP(A42,Fragenkatalog!A:N,13,FALSE),""))</f>
        <v>1</v>
      </c>
      <c r="J42" s="2">
        <f>IF(OR(F42="",AND(G42="",F42&lt;&gt;LookupTabellen!$A$6,F42&lt;&gt;LookupTabellen!$A$7)),0,IFERROR(VLOOKUP(F42,LookupTabellen!$A$3:$B$7,2,FALSE)*VLOOKUP(A42,Fragenkatalog!A:N,13,FALSE),""))</f>
        <v>0</v>
      </c>
      <c r="K42" s="2">
        <f>IF(OR(F42="",AND(G42="",F42&lt;&gt;LookupTabellen!$A$6,F42&lt;&gt;LookupTabellen!$A$7)),0,IFERROR(VLOOKUP(F42,LookupTabellen!$A$3:$C$7,3,FALSE)*VLOOKUP(G42,LookupTabellen!$D$3:$F$5,3,FALSE)*VLOOKUP(A42,Fragenkatalog!A:N,13,FALSE),""))</f>
        <v>0</v>
      </c>
      <c r="L42" s="2">
        <f>IF(F42=LookupTabellen!$A$6,0,IFERROR(ABS(VLOOKUP(A42,Fragenkatalog!A:N,14,FALSE)),""))</f>
        <v>0.75</v>
      </c>
      <c r="M42" s="2" t="str">
        <f>IFERROR((IF(VLOOKUP(A42,Fragenkatalog!A:N,14,FALSE)&lt;0,-4,0)+VLOOKUP(F42,LookupTabellen!$A$3:$B$7,2,FALSE))*VLOOKUP(A42,Fragenkatalog!A:N,14,FALSE),"")</f>
        <v/>
      </c>
      <c r="N42" s="2">
        <f>IFERROR(VLOOKUP(G42,LookupTabellen!$D$3:$E$5,2,FALSE)*AND(H42&lt;&gt;"Antwort auswählen",F42&lt;&gt;LookupTabellen!$A$6,F42&lt;&gt;LookupTabellen!$A$7),0)</f>
        <v>0</v>
      </c>
      <c r="O42" s="1" t="str">
        <f>IF(F42=LookupTabellen!$A$3,IF(VLOOKUP($A42,Fragenkatalog!$A$1:$L$61,MATCH($C$13,Fragenkatalog!$1:$1,0),FALSE)=0,"",CONCATENATE(VLOOKUP(H42,LookupTabellen!$H$2:$I$3,2,FALSE),VLOOKUP($A42,Fragenkatalog!$A$1:$L$61,MATCH($C$13,Fragenkatalog!$1:$1,0),FALSE))),"")</f>
        <v/>
      </c>
      <c r="P42" s="2" t="str">
        <f>IF(O42="",IF(OR(F42=LookupTabellen!$A$6,F42="",G42=LookupTabellen!$D$3),IF(VLOOKUP($A42,Fragenkatalog!$A$1:$L$61,MATCH("Frage",Fragenkatalog!$1:$1,0),FALSE)=0,"",CONCATENATE(VLOOKUP(H42,LookupTabellen!$H$2:$I$3,2,FALSE),VLOOKUP($A42,Fragenkatalog!$A$1:$L$61,MATCH("Frage",Fragenkatalog!$1:$1,0),FALSE))),""),"")</f>
        <v>Kann die Einrichtung Ressourcen für Betrieb, Wartung und Support der Hardware zur Verfügung zu stellen?</v>
      </c>
      <c r="Q42" s="78" t="str">
        <f>VLOOKUP($A42,Fragenkatalog!$A$1:$L$61,MATCH(Q$37,Fragenkatalog!$1:$1,0),FALSE)</f>
        <v>Kann die Einrichtung neben den bereitgestellten Ressourcen für das Team auch weitere Ressourcen zur Verfügung stellen? Dies können bspw. finanzielle, materielle oder personelle Ressourcen sein, aber auch die Unterstützung durch andere Abteilungen (z.B. Kommunikation). Je nach Art der Verwertung (z.B. HaaS) kann es auch notwendig sein, Ressourcen für den Betrieb der Hardware bereit zu stellen.</v>
      </c>
      <c r="U42" s="26"/>
      <c r="V42" s="54"/>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row>
    <row r="43" spans="1:62" ht="60.75" thickBot="1" x14ac:dyDescent="0.3">
      <c r="A43" s="146" t="s">
        <v>69</v>
      </c>
      <c r="B43" s="147" t="str">
        <f>VLOOKUP($A43,Fragenkatalog!$A$1:$L$61,MATCH(B$37,Fragenkatalog!$1:$1,0),FALSE)</f>
        <v>Ist ein Abbruch der Entwicklung und der Verwertung für die Einrichtung tragbar?</v>
      </c>
      <c r="C43" s="148" t="str">
        <f>_xlfn.CONCAT("Nein: ",VLOOKUP($A43,Fragenkatalog!$A$1:$L$61,MATCH(C$13,Fragenkatalog!$1:$1,0),FALSE))</f>
        <v>Nein: Ein Abbruch wäre nicht tragbar.</v>
      </c>
      <c r="D43" s="148" t="str">
        <f>VLOOKUP($A43,Fragenkatalog!$A$1:$L$61,MATCH(D$37,Fragenkatalog!$1:$1,0),FALSE)</f>
        <v>Der Abbruch könnte kompensiert werden.</v>
      </c>
      <c r="E43" s="148" t="str">
        <f>_xlfn.CONCAT("Ja: ",VLOOKUP($A43,Fragenkatalog!$A$1:$L$61,MATCH(E$13,Fragenkatalog!$1:$1,0),FALSE))</f>
        <v>Ja: Ein Abbruch wäre verkraftbar.</v>
      </c>
      <c r="F43" s="87"/>
      <c r="G43" s="88"/>
      <c r="H43" s="88" t="s">
        <v>39</v>
      </c>
      <c r="I43" s="2">
        <f>IF(F43=LookupTabellen!$A$7,0,IFERROR(VLOOKUP(A43,Fragenkatalog!A:N,13,FALSE),""))</f>
        <v>1</v>
      </c>
      <c r="J43" s="2">
        <f>IF(OR(F43="",AND(G43="",F43&lt;&gt;LookupTabellen!$A$6,F43&lt;&gt;LookupTabellen!$A$7)),0,IFERROR(VLOOKUP(F43,LookupTabellen!$A$3:$B$7,2,FALSE)*VLOOKUP(A43,Fragenkatalog!A:N,13,FALSE),""))</f>
        <v>0</v>
      </c>
      <c r="K43" s="2">
        <f>IF(OR(F43="",AND(G43="",F43&lt;&gt;LookupTabellen!$A$6,F43&lt;&gt;LookupTabellen!$A$7)),0,IFERROR(VLOOKUP(F43,LookupTabellen!$A$3:$C$7,3,FALSE)*VLOOKUP(G43,LookupTabellen!$D$3:$F$5,3,FALSE)*VLOOKUP(A43,Fragenkatalog!A:N,13,FALSE),""))</f>
        <v>0</v>
      </c>
      <c r="L43" s="2">
        <f>IF(F43=LookupTabellen!$A$6,0,IFERROR(ABS(VLOOKUP(A43,Fragenkatalog!A:N,14,FALSE)),""))</f>
        <v>0.2</v>
      </c>
      <c r="M43" s="2" t="str">
        <f>IFERROR((IF(VLOOKUP(A43,Fragenkatalog!A:N,14,FALSE)&lt;0,-4,0)+VLOOKUP(F43,LookupTabellen!$A$3:$B$7,2,FALSE))*VLOOKUP(A43,Fragenkatalog!A:N,14,FALSE),"")</f>
        <v/>
      </c>
      <c r="N43" s="2">
        <f>IFERROR(VLOOKUP(G43,LookupTabellen!$D$3:$E$5,2,FALSE)*AND(H43&lt;&gt;"Antwort auswählen",F43&lt;&gt;LookupTabellen!$A$6,F43&lt;&gt;LookupTabellen!$A$7),0)</f>
        <v>0</v>
      </c>
      <c r="O43" s="1" t="str">
        <f>IF(F43=LookupTabellen!$A$3,IF(VLOOKUP($A43,Fragenkatalog!$A$1:$L$61,MATCH($C$13,Fragenkatalog!$1:$1,0),FALSE)=0,"",CONCATENATE(VLOOKUP(H43,LookupTabellen!$H$2:$I$3,2,FALSE),VLOOKUP($A43,Fragenkatalog!$A$1:$L$61,MATCH($C$13,Fragenkatalog!$1:$1,0),FALSE))),"")</f>
        <v/>
      </c>
      <c r="P43" s="2" t="str">
        <f>IF(O43="",IF(OR(F43=LookupTabellen!$A$6,F43="",G43=LookupTabellen!$D$3),IF(VLOOKUP($A43,Fragenkatalog!$A$1:$L$61,MATCH("Frage",Fragenkatalog!$1:$1,0),FALSE)=0,"",CONCATENATE(VLOOKUP(H43,LookupTabellen!$H$2:$I$3,2,FALSE),VLOOKUP($A43,Fragenkatalog!$A$1:$L$61,MATCH("Frage",Fragenkatalog!$1:$1,0),FALSE))),""),"")</f>
        <v>Ist ein Abbruch der Entwicklung und der Verwertung für die Einrichtung tragbar?</v>
      </c>
      <c r="Q43" s="149" t="str">
        <f>VLOOKUP($A43,Fragenkatalog!$A$1:$L$61,MATCH(Q$37,Fragenkatalog!$1:$1,0),FALSE)</f>
        <v>Wird keine Verwertung gestartet oder muss die Entwicklung abgebrochen werden, kann dies negative Auswirkungen für die Einrichtung haben. Dies kann beispielsweise den Verlust von Ansehen oder finanzielle Verluste bedeuten.</v>
      </c>
      <c r="U43" s="26"/>
      <c r="V43" s="54"/>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row>
    <row r="44" spans="1:62" ht="24" thickBot="1" x14ac:dyDescent="0.3">
      <c r="A44" s="51"/>
      <c r="B44" s="51"/>
      <c r="C44" s="51"/>
      <c r="D44" s="51"/>
      <c r="E44" s="144">
        <f>IFERROR(SUM(K37:K43)/SUM(I37:I43),0)</f>
        <v>0</v>
      </c>
      <c r="F44" s="145">
        <f>IFERROR(SUM(J37:J43)/SUM(I37:I43),0)</f>
        <v>0</v>
      </c>
      <c r="G44" s="145">
        <f>IFERROR(SUM(N38:N43)/(COUNTIF(F38:F43,"&lt;&gt;nicht relevant")),"Bewertung nicht möglich")</f>
        <v>0</v>
      </c>
      <c r="Q44" s="1"/>
      <c r="U44" s="26"/>
      <c r="V44" s="54"/>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row>
    <row r="45" spans="1:62" ht="15.75" thickBot="1" x14ac:dyDescent="0.3">
      <c r="A45" s="51"/>
      <c r="B45" s="51"/>
      <c r="C45" s="51"/>
      <c r="D45" s="51"/>
      <c r="E45" s="79" t="s">
        <v>48</v>
      </c>
      <c r="F45" s="79" t="s">
        <v>49</v>
      </c>
      <c r="G45" s="79" t="s">
        <v>7</v>
      </c>
      <c r="H45" s="51"/>
      <c r="I45" s="51"/>
      <c r="J45" s="51"/>
      <c r="K45" s="51"/>
      <c r="L45" s="51"/>
      <c r="M45" s="51"/>
      <c r="N45" s="51"/>
      <c r="O45" s="51"/>
      <c r="P45" s="51"/>
      <c r="Q45" s="51"/>
      <c r="U45" s="26"/>
      <c r="V45" s="54"/>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row>
    <row r="46" spans="1:62" ht="27" thickBot="1" x14ac:dyDescent="0.3">
      <c r="A46" s="175" t="s">
        <v>70</v>
      </c>
      <c r="B46" s="176"/>
      <c r="C46" s="176"/>
      <c r="D46" s="176"/>
      <c r="E46" s="176"/>
      <c r="F46" s="176"/>
      <c r="G46" s="176"/>
      <c r="H46" s="176"/>
      <c r="I46" s="176"/>
      <c r="J46" s="176"/>
      <c r="K46" s="176"/>
      <c r="L46" s="176"/>
      <c r="M46" s="176"/>
      <c r="N46" s="176"/>
      <c r="O46" s="176"/>
      <c r="P46" s="176"/>
      <c r="Q46" s="176"/>
      <c r="R46" s="54"/>
      <c r="S46" s="54"/>
      <c r="T46" s="54"/>
      <c r="U46" s="54" t="str">
        <f>IF(G46=LookupTabellen!$D$3,IF(VLOOKUP($A46,Fragenkatalog!$A$1:$L$61,MATCH("Frage",Fragenkatalog!$1:$1,0),FALSE)=0,"",VLOOKUP($A46,Fragenkatalog!$A$1:$L$61,MATCH("Frage",Fragenkatalog!$1:$1,0),FALSE)),"")</f>
        <v/>
      </c>
      <c r="V46" s="54"/>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row>
    <row r="47" spans="1:62" ht="63.75" thickBot="1" x14ac:dyDescent="0.3">
      <c r="A47" s="129" t="s">
        <v>21</v>
      </c>
      <c r="B47" s="130" t="s">
        <v>22</v>
      </c>
      <c r="C47" s="130" t="s">
        <v>23</v>
      </c>
      <c r="D47" s="130" t="s">
        <v>24</v>
      </c>
      <c r="E47" s="130" t="s">
        <v>25</v>
      </c>
      <c r="F47" s="131" t="s">
        <v>51</v>
      </c>
      <c r="G47" s="139" t="s">
        <v>52</v>
      </c>
      <c r="H47" s="131" t="s">
        <v>53</v>
      </c>
      <c r="I47" s="132" t="s">
        <v>29</v>
      </c>
      <c r="J47" s="132" t="s">
        <v>30</v>
      </c>
      <c r="K47" s="132" t="s">
        <v>31</v>
      </c>
      <c r="L47" s="132" t="s">
        <v>54</v>
      </c>
      <c r="M47" s="132" t="s">
        <v>55</v>
      </c>
      <c r="N47" s="132" t="s">
        <v>34</v>
      </c>
      <c r="O47" s="132" t="s">
        <v>35</v>
      </c>
      <c r="P47" s="132" t="s">
        <v>36</v>
      </c>
      <c r="Q47" s="130" t="s">
        <v>37</v>
      </c>
      <c r="U47" s="26"/>
      <c r="V47" s="54"/>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row>
    <row r="48" spans="1:62" ht="105.75" thickBot="1" x14ac:dyDescent="0.3">
      <c r="A48" s="75" t="s">
        <v>71</v>
      </c>
      <c r="B48" s="76" t="str">
        <f>VLOOKUP($A48,Fragenkatalog!$A$1:$L$61,MATCH(B$47,Fragenkatalog!$1:$1,0),FALSE)</f>
        <v>Gibt es für die Hardware einen belastbaren und ggfs. einen quantifizierbaren Bedarf oder wird sich dieser in absehbarer Zukunft entwickeln?</v>
      </c>
      <c r="C48" s="77" t="str">
        <f>_xlfn.CONCAT("Nein: ",VLOOKUP($A48,Fragenkatalog!$A$1:$L$61,MATCH(C$13,Fragenkatalog!$1:$1,0),FALSE))</f>
        <v>Nein: Es existiert kein Bedarf außerhalb der Einrichtung.</v>
      </c>
      <c r="D48" s="77" t="str">
        <f>VLOOKUP($A48,Fragenkatalog!$A$1:$L$61,MATCH(D$13,Fragenkatalog!$1:$1,0),FALSE)</f>
        <v>Es gibt noch keinen Bedarf, dieser wird sich aber zukünftig entwickeln.</v>
      </c>
      <c r="E48" s="77" t="str">
        <f>_xlfn.CONCAT("Ja: ",VLOOKUP($A48,Fragenkatalog!$A$1:$L$61,MATCH(E$13,Fragenkatalog!$1:$1,0),FALSE))</f>
        <v>Ja: Es gibt einen Bedarf.</v>
      </c>
      <c r="F48" s="81"/>
      <c r="G48" s="82"/>
      <c r="H48" s="82" t="s">
        <v>39</v>
      </c>
      <c r="I48" s="2">
        <f>IF(F48=LookupTabellen!$A$7,0,IFERROR(VLOOKUP(A48,Fragenkatalog!A:N,13,FALSE),""))</f>
        <v>1</v>
      </c>
      <c r="J48" s="2">
        <f>IF(OR(F48="",AND(G48="",F48&lt;&gt;LookupTabellen!$A$6,F48&lt;&gt;LookupTabellen!$A$7)),0,IFERROR(VLOOKUP(F48,LookupTabellen!$A$3:$B$7,2,FALSE)*VLOOKUP(A48,Fragenkatalog!A:N,13,FALSE),""))</f>
        <v>0</v>
      </c>
      <c r="K48" s="2">
        <f>IF(OR(F48="",AND(G48="",F48&lt;&gt;LookupTabellen!$A$6,F48&lt;&gt;LookupTabellen!$A$7)),0,IFERROR(VLOOKUP(F48,LookupTabellen!$A$3:$C$7,3,FALSE)*VLOOKUP(G48,LookupTabellen!$D$3:$F$5,3,FALSE)*VLOOKUP(A48,Fragenkatalog!A:N,13,FALSE),""))</f>
        <v>0</v>
      </c>
      <c r="L48" s="2">
        <f>IF(F48=LookupTabellen!$A$6,0,IFERROR(ABS(VLOOKUP(A48,Fragenkatalog!A:N,14,FALSE)),""))</f>
        <v>1</v>
      </c>
      <c r="M48" s="2" t="str">
        <f>IFERROR((IF(VLOOKUP(A48,Fragenkatalog!A:N,14,FALSE)&lt;0,-4,0)+VLOOKUP(F48,LookupTabellen!$A$3:$B$7,2,FALSE))*VLOOKUP(A48,Fragenkatalog!A:N,14,FALSE),"")</f>
        <v/>
      </c>
      <c r="N48" s="2">
        <f>IFERROR(VLOOKUP(G48,LookupTabellen!$D$3:$E$5,2,FALSE)*AND(H48&lt;&gt;"Antwort auswählen",F48&lt;&gt;LookupTabellen!$A$6,F48&lt;&gt;LookupTabellen!$A$7),0)</f>
        <v>0</v>
      </c>
      <c r="O48" s="1" t="str">
        <f>IF(F48=LookupTabellen!$A$3,IF(VLOOKUP($A48,Fragenkatalog!$A$1:$L$61,MATCH($C$13,Fragenkatalog!$1:$1,0),FALSE)=0,"",CONCATENATE(VLOOKUP(H48,LookupTabellen!$H$2:$I$3,2,FALSE),VLOOKUP($A48,Fragenkatalog!$A$1:$L$61,MATCH($C$13,Fragenkatalog!$1:$1,0),FALSE))),"")</f>
        <v/>
      </c>
      <c r="P48" s="2" t="str">
        <f>IF(O48="",IF(OR(F48=LookupTabellen!$A$6,F48="",G48=LookupTabellen!$D$3),IF(VLOOKUP($A48,Fragenkatalog!$A$1:$L$61,MATCH("Frage",Fragenkatalog!$1:$1,0),FALSE)=0,"",CONCATENATE(VLOOKUP(H48,LookupTabellen!$H$2:$I$3,2,FALSE),VLOOKUP($A48,Fragenkatalog!$A$1:$L$61,MATCH("Frage",Fragenkatalog!$1:$1,0),FALSE))),""),"")</f>
        <v>Gibt es für die Hardware einen belastbaren und ggfs. einen quantifizierbaren Bedarf oder wird sich dieser in absehbarer Zukunft entwickeln?</v>
      </c>
      <c r="Q48" s="78" t="str">
        <f>VLOOKUP($A48,Fragenkatalog!$A$1:$L$61,MATCH(Q$13,Fragenkatalog!$1:$1,0),FALSE)</f>
        <v>Allgemeine Frage zur Nachfrage der Hardware auf dem Markt: Gibt es Bedarf für die Hardware oder wird sich dieser in absehbarer Zukunft entwickeln?</v>
      </c>
      <c r="U48" s="26"/>
      <c r="V48" s="54"/>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row>
    <row r="49" spans="1:62" ht="45.75" thickBot="1" x14ac:dyDescent="0.3">
      <c r="A49" s="135" t="s">
        <v>72</v>
      </c>
      <c r="B49" s="136" t="str">
        <f>VLOOKUP($A49,Fragenkatalog!$A$1:$L$61,MATCH(B$47,Fragenkatalog!$1:$1,0),FALSE)</f>
        <v>Bietet die Hardware messbare Vorteile für den Kunden?</v>
      </c>
      <c r="C49" s="137" t="str">
        <f>_xlfn.CONCAT("Nein: ",VLOOKUP($A49,Fragenkatalog!$A$1:$L$61,MATCH(C$13,Fragenkatalog!$1:$1,0),FALSE))</f>
        <v>Nein: Die Hardware unterscheidet sich kaum von Konkurrenzprodukten.</v>
      </c>
      <c r="D49" s="137" t="str">
        <f>VLOOKUP($A49,Fragenkatalog!$A$1:$L$61,MATCH(D$47,Fragenkatalog!$1:$1,0),FALSE)</f>
        <v>Die Hardware bietet kleinere Vorteile für den Nutzer.</v>
      </c>
      <c r="E49" s="137" t="str">
        <f>_xlfn.CONCAT("Ja: ",VLOOKUP($A49,Fragenkatalog!$A$1:$L$61,MATCH(E$13,Fragenkatalog!$1:$1,0),FALSE))</f>
        <v>Ja: Die Hardware bietet erhebliche Vorteile für den Nutzer.</v>
      </c>
      <c r="F49" s="89"/>
      <c r="G49" s="90"/>
      <c r="H49" s="90" t="s">
        <v>39</v>
      </c>
      <c r="I49" s="2">
        <f>IF(F49=LookupTabellen!$A$7,0,IFERROR(VLOOKUP(A49,Fragenkatalog!A:N,13,FALSE),""))</f>
        <v>1</v>
      </c>
      <c r="J49" s="2">
        <f>IF(OR(F49="",AND(G49="",F49&lt;&gt;LookupTabellen!$A$6,F49&lt;&gt;LookupTabellen!$A$7)),0,IFERROR(VLOOKUP(F49,LookupTabellen!$A$3:$B$7,2,FALSE)*VLOOKUP(A49,Fragenkatalog!A:N,13,FALSE),""))</f>
        <v>0</v>
      </c>
      <c r="K49" s="2">
        <f>IF(OR(F49="",AND(G49="",F49&lt;&gt;LookupTabellen!$A$6,F49&lt;&gt;LookupTabellen!$A$7)),0,IFERROR(VLOOKUP(F49,LookupTabellen!$A$3:$C$7,3,FALSE)*VLOOKUP(G49,LookupTabellen!$D$3:$F$5,3,FALSE)*VLOOKUP(A49,Fragenkatalog!A:N,13,FALSE),""))</f>
        <v>0</v>
      </c>
      <c r="L49" s="2">
        <f>IF(F49=LookupTabellen!$A$6,0,IFERROR(ABS(VLOOKUP(A49,Fragenkatalog!A:N,14,FALSE)),""))</f>
        <v>1</v>
      </c>
      <c r="M49" s="2" t="str">
        <f>IFERROR((IF(VLOOKUP(A49,Fragenkatalog!A:N,14,FALSE)&lt;0,-4,0)+VLOOKUP(F49,LookupTabellen!$A$3:$B$7,2,FALSE))*VLOOKUP(A49,Fragenkatalog!A:N,14,FALSE),"")</f>
        <v/>
      </c>
      <c r="N49" s="2">
        <f>IFERROR(VLOOKUP(G49,LookupTabellen!$D$3:$E$5,2,FALSE)*AND(H49&lt;&gt;"Antwort auswählen",F49&lt;&gt;LookupTabellen!$A$6,F49&lt;&gt;LookupTabellen!$A$7),0)</f>
        <v>0</v>
      </c>
      <c r="O49" s="1" t="str">
        <f>IF(F49=LookupTabellen!$A$3,IF(VLOOKUP($A49,Fragenkatalog!$A$1:$L$61,MATCH($C$13,Fragenkatalog!$1:$1,0),FALSE)=0,"",CONCATENATE(VLOOKUP(H49,LookupTabellen!$H$2:$I$3,2,FALSE),VLOOKUP($A49,Fragenkatalog!$A$1:$L$61,MATCH($C$13,Fragenkatalog!$1:$1,0),FALSE))),"")</f>
        <v/>
      </c>
      <c r="P49" s="2" t="str">
        <f>IF(O49="",IF(OR(F49=LookupTabellen!$A$6,F49="",G49=LookupTabellen!$D$3),IF(VLOOKUP($A49,Fragenkatalog!$A$1:$L$61,MATCH("Frage",Fragenkatalog!$1:$1,0),FALSE)=0,"",CONCATENATE(VLOOKUP(H49,LookupTabellen!$H$2:$I$3,2,FALSE),VLOOKUP($A49,Fragenkatalog!$A$1:$L$61,MATCH("Frage",Fragenkatalog!$1:$1,0),FALSE))),""),"")</f>
        <v>Bietet die Hardware messbare Vorteile für den Kunden?</v>
      </c>
      <c r="Q49" s="138" t="str">
        <f>VLOOKUP($A49,Fragenkatalog!$A$1:$L$61,MATCH(Q$47,Fragenkatalog!$1:$1,0),FALSE)</f>
        <v>Vorteile könnten bspw. eine bessere Bedienbarkeit, eine effizientere Arbeitsweise, neuartige Funktionen oder Kosten sein.</v>
      </c>
      <c r="U49" s="26"/>
      <c r="V49" s="54"/>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row>
    <row r="50" spans="1:62" ht="90.75" thickBot="1" x14ac:dyDescent="0.3">
      <c r="A50" s="75" t="s">
        <v>73</v>
      </c>
      <c r="B50" s="76" t="str">
        <f>VLOOKUP($A50,Fragenkatalog!$A$1:$L$61,MATCH(B$47,Fragenkatalog!$1:$1,0),FALSE)</f>
        <v>Handelt es sich bei der Hardware um eine Kerntechnologie, auf die andere Produkte aufgebaut werden können?</v>
      </c>
      <c r="C50" s="77" t="str">
        <f>_xlfn.CONCAT("Nein: ",VLOOKUP($A50,Fragenkatalog!$A$1:$L$61,MATCH(C$13,Fragenkatalog!$1:$1,0),FALSE))</f>
        <v>Nein: Die Hardware ist in sich geschlossen.</v>
      </c>
      <c r="D50" s="77" t="str">
        <f>VLOOKUP($A50,Fragenkatalog!$A$1:$L$61,MATCH(D$47,Fragenkatalog!$1:$1,0),FALSE)</f>
        <v>Andere können die Hardware erweitern und modifizieren.</v>
      </c>
      <c r="E50" s="77" t="str">
        <f>_xlfn.CONCAT("Ja: ",VLOOKUP($A50,Fragenkatalog!$A$1:$L$61,MATCH(E$13,Fragenkatalog!$1:$1,0),FALSE))</f>
        <v>Ja: Andere können eigene Hardware basierend auf der Kerntechnologie entwickeln.</v>
      </c>
      <c r="F50" s="81"/>
      <c r="G50" s="82"/>
      <c r="H50" s="82" t="s">
        <v>39</v>
      </c>
      <c r="I50" s="2">
        <f>IF(F50=LookupTabellen!$A$7,0,IFERROR(VLOOKUP(A50,Fragenkatalog!A:N,13,FALSE),""))</f>
        <v>1</v>
      </c>
      <c r="J50" s="2">
        <f>IF(OR(F50="",AND(G50="",F50&lt;&gt;LookupTabellen!$A$6,F50&lt;&gt;LookupTabellen!$A$7)),0,IFERROR(VLOOKUP(F50,LookupTabellen!$A$3:$B$7,2,FALSE)*VLOOKUP(A50,Fragenkatalog!A:N,13,FALSE),""))</f>
        <v>0</v>
      </c>
      <c r="K50" s="2">
        <f>IF(OR(F50="",AND(G50="",F50&lt;&gt;LookupTabellen!$A$6,F50&lt;&gt;LookupTabellen!$A$7)),0,IFERROR(VLOOKUP(F50,LookupTabellen!$A$3:$C$7,3,FALSE)*VLOOKUP(G50,LookupTabellen!$D$3:$F$5,3,FALSE)*VLOOKUP(A50,Fragenkatalog!A:N,13,FALSE),""))</f>
        <v>0</v>
      </c>
      <c r="L50" s="2">
        <f>IF(F50=LookupTabellen!$A$6,0,IFERROR(ABS(VLOOKUP(A50,Fragenkatalog!A:N,14,FALSE)),""))</f>
        <v>0.6</v>
      </c>
      <c r="M50" s="2" t="str">
        <f>IFERROR((IF(VLOOKUP(A50,Fragenkatalog!A:N,14,FALSE)&lt;0,-4,0)+VLOOKUP(F50,LookupTabellen!$A$3:$B$7,2,FALSE))*VLOOKUP(A50,Fragenkatalog!A:N,14,FALSE),"")</f>
        <v/>
      </c>
      <c r="N50" s="2">
        <f>IFERROR(VLOOKUP(G50,LookupTabellen!$D$3:$E$5,2,FALSE)*AND(H50&lt;&gt;"Antwort auswählen",F50&lt;&gt;LookupTabellen!$A$6,F50&lt;&gt;LookupTabellen!$A$7),0)</f>
        <v>0</v>
      </c>
      <c r="O50" s="1" t="str">
        <f>IF(F50=LookupTabellen!$A$3,IF(VLOOKUP($A50,Fragenkatalog!$A$1:$L$61,MATCH($C$13,Fragenkatalog!$1:$1,0),FALSE)=0,"",CONCATENATE(VLOOKUP(H50,LookupTabellen!$H$2:$I$3,2,FALSE),VLOOKUP($A50,Fragenkatalog!$A$1:$L$61,MATCH($C$13,Fragenkatalog!$1:$1,0),FALSE))),"")</f>
        <v/>
      </c>
      <c r="P50" s="2" t="str">
        <f>IF(O50="",IF(OR(F50=LookupTabellen!$A$6,F50="",G50=LookupTabellen!$D$3),IF(VLOOKUP($A50,Fragenkatalog!$A$1:$L$61,MATCH("Frage",Fragenkatalog!$1:$1,0),FALSE)=0,"",CONCATENATE(VLOOKUP(H50,LookupTabellen!$H$2:$I$3,2,FALSE),VLOOKUP($A50,Fragenkatalog!$A$1:$L$61,MATCH("Frage",Fragenkatalog!$1:$1,0),FALSE))),""),"")</f>
        <v>Handelt es sich bei der Hardware um eine Kerntechnologie, auf die andere Produkte aufgebaut werden können?</v>
      </c>
      <c r="Q50" s="78" t="str">
        <f>VLOOKUP($A50,Fragenkatalog!$A$1:$L$61,MATCH(Q$47,Fragenkatalog!$1:$1,0),FALSE)</f>
        <v>Können andere Entwickler weitere Produkte basierend auf der Kernhardware entwickeln, dann bietet dies die Möglichkeit einer kommerziellen Nutzung (z.B. Lizenzierung).</v>
      </c>
      <c r="U50" s="26"/>
      <c r="V50" s="54"/>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row>
    <row r="51" spans="1:62" ht="60.75" thickBot="1" x14ac:dyDescent="0.3">
      <c r="A51" s="135" t="s">
        <v>74</v>
      </c>
      <c r="B51" s="136" t="str">
        <f>VLOOKUP($A51,Fragenkatalog!$A$1:$L$61,MATCH(B$47,Fragenkatalog!$1:$1,0),FALSE)</f>
        <v>Sind keine vergleichbaren Produkte auf dem Markt?</v>
      </c>
      <c r="C51" s="137" t="str">
        <f>_xlfn.CONCAT("Nein: ",VLOOKUP($A51,Fragenkatalog!$A$1:$L$61,MATCH(C$13,Fragenkatalog!$1:$1,0),FALSE))</f>
        <v>Nein: Es sind bereits vergleichbare Produkte auf dem Markt.</v>
      </c>
      <c r="D51" s="137" t="str">
        <f>VLOOKUP($A51,Fragenkatalog!$A$1:$L$61,MATCH(D$47,Fragenkatalog!$1:$1,0),FALSE)</f>
        <v>Vergleichbare Produkte befinden sich in der Entwicklung.</v>
      </c>
      <c r="E51" s="137" t="str">
        <f>_xlfn.CONCAT("Ja: ",VLOOKUP($A51,Fragenkatalog!$A$1:$L$61,MATCH(E$13,Fragenkatalog!$1:$1,0),FALSE))</f>
        <v>Ja: Vergleichbare Produkte sind weder auf dem Markt noch werden diese nach aktuellem Stand entwickelt.</v>
      </c>
      <c r="F51" s="89"/>
      <c r="G51" s="90"/>
      <c r="H51" s="90" t="s">
        <v>39</v>
      </c>
      <c r="I51" s="2">
        <f>IF(F51=LookupTabellen!$A$7,0,IFERROR(VLOOKUP(A51,Fragenkatalog!A:N,13,FALSE),""))</f>
        <v>1</v>
      </c>
      <c r="J51" s="2">
        <f>IF(OR(F51="",AND(G51="",F51&lt;&gt;LookupTabellen!$A$6,F51&lt;&gt;LookupTabellen!$A$7)),0,IFERROR(VLOOKUP(F51,LookupTabellen!$A$3:$B$7,2,FALSE)*VLOOKUP(A51,Fragenkatalog!A:N,13,FALSE),""))</f>
        <v>0</v>
      </c>
      <c r="K51" s="2">
        <f>IF(OR(F51="",AND(G51="",F51&lt;&gt;LookupTabellen!$A$6,F51&lt;&gt;LookupTabellen!$A$7)),0,IFERROR(VLOOKUP(F51,LookupTabellen!$A$3:$C$7,3,FALSE)*VLOOKUP(G51,LookupTabellen!$D$3:$F$5,3,FALSE)*VLOOKUP(A51,Fragenkatalog!A:N,13,FALSE),""))</f>
        <v>0</v>
      </c>
      <c r="L51" s="2">
        <f>IF(F51=LookupTabellen!$A$6,0,IFERROR(ABS(VLOOKUP(A51,Fragenkatalog!A:N,14,FALSE)),""))</f>
        <v>0.5</v>
      </c>
      <c r="M51" s="2" t="str">
        <f>IFERROR((IF(VLOOKUP(A51,Fragenkatalog!A:N,14,FALSE)&lt;0,-4,0)+VLOOKUP(F51,LookupTabellen!$A$3:$B$7,2,FALSE))*VLOOKUP(A51,Fragenkatalog!A:N,14,FALSE),"")</f>
        <v/>
      </c>
      <c r="N51" s="2">
        <f>IFERROR(VLOOKUP(G51,LookupTabellen!$D$3:$E$5,2,FALSE)*AND(H51&lt;&gt;"Antwort auswählen",F51&lt;&gt;LookupTabellen!$A$6,F51&lt;&gt;LookupTabellen!$A$7),0)</f>
        <v>0</v>
      </c>
      <c r="O51" s="1" t="str">
        <f>IF(F51=LookupTabellen!$A$3,IF(VLOOKUP($A51,Fragenkatalog!$A$1:$L$61,MATCH($C$13,Fragenkatalog!$1:$1,0),FALSE)=0,"",CONCATENATE(VLOOKUP(H51,LookupTabellen!$H$2:$I$3,2,FALSE),VLOOKUP($A51,Fragenkatalog!$A$1:$L$61,MATCH($C$13,Fragenkatalog!$1:$1,0),FALSE))),"")</f>
        <v/>
      </c>
      <c r="P51" s="2" t="str">
        <f>IF(O51="",IF(OR(F51=LookupTabellen!$A$6,F51="",G51=LookupTabellen!$D$3),IF(VLOOKUP($A51,Fragenkatalog!$A$1:$L$61,MATCH("Frage",Fragenkatalog!$1:$1,0),FALSE)=0,"",CONCATENATE(VLOOKUP(H51,LookupTabellen!$H$2:$I$3,2,FALSE),VLOOKUP($A51,Fragenkatalog!$A$1:$L$61,MATCH("Frage",Fragenkatalog!$1:$1,0),FALSE))),""),"")</f>
        <v>Sind keine vergleichbaren Produkte auf dem Markt?</v>
      </c>
      <c r="Q51" s="138" t="str">
        <f>VLOOKUP($A51,Fragenkatalog!$A$1:$L$61,MATCH(Q$47,Fragenkatalog!$1:$1,0),FALSE)</f>
        <v>Vergleichbare Produkte sind solche, mit denen die gleichen Aufgaben gelöst werden können und mit denen man auf dem Markt in Konkurrenz tritt.</v>
      </c>
      <c r="U51" s="26"/>
      <c r="V51" s="54"/>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row>
    <row r="52" spans="1:62" ht="45.75" thickBot="1" x14ac:dyDescent="0.3">
      <c r="A52" s="75" t="s">
        <v>75</v>
      </c>
      <c r="B52" s="76" t="str">
        <f>VLOOKUP($A52,Fragenkatalog!$A$1:$L$61,MATCH(B$47,Fragenkatalog!$1:$1,0),FALSE)</f>
        <v>Ist die Hardware durch Aufwand nicht replizierbar?</v>
      </c>
      <c r="C52" s="77" t="str">
        <f>_xlfn.CONCAT("Nein: ",VLOOKUP($A52,Fragenkatalog!$A$1:$L$61,MATCH(C$13,Fragenkatalog!$1:$1,0),FALSE))</f>
        <v>Nein: Die Hardware ist replizierbar.</v>
      </c>
      <c r="D52" s="77" t="str">
        <f>VLOOKUP($A52,Fragenkatalog!$A$1:$L$61,MATCH(D$47,Fragenkatalog!$1:$1,0),FALSE)</f>
        <v>Die Hardware ist mit einigem Aufwand replizierbar.</v>
      </c>
      <c r="E52" s="77" t="str">
        <f>_xlfn.CONCAT("Ja: ",VLOOKUP($A52,Fragenkatalog!$A$1:$L$61,MATCH(E$13,Fragenkatalog!$1:$1,0),FALSE))</f>
        <v>Ja: Die Hardware ist nicht replizierbar.</v>
      </c>
      <c r="F52" s="81"/>
      <c r="G52" s="82"/>
      <c r="H52" s="82" t="s">
        <v>39</v>
      </c>
      <c r="I52" s="2">
        <f>IF(F52=LookupTabellen!$A$7,0,IFERROR(VLOOKUP(A52,Fragenkatalog!A:N,13,FALSE),""))</f>
        <v>1</v>
      </c>
      <c r="J52" s="2">
        <f>IF(OR(F52="",AND(G52="",F52&lt;&gt;LookupTabellen!$A$6,F52&lt;&gt;LookupTabellen!$A$7)),0,IFERROR(VLOOKUP(F52,LookupTabellen!$A$3:$B$7,2,FALSE)*VLOOKUP(A52,Fragenkatalog!A:N,13,FALSE),""))</f>
        <v>0</v>
      </c>
      <c r="K52" s="2">
        <f>IF(OR(F52="",AND(G52="",F52&lt;&gt;LookupTabellen!$A$6,F52&lt;&gt;LookupTabellen!$A$7)),0,IFERROR(VLOOKUP(F52,LookupTabellen!$A$3:$C$7,3,FALSE)*VLOOKUP(G52,LookupTabellen!$D$3:$F$5,3,FALSE)*VLOOKUP(A52,Fragenkatalog!A:N,13,FALSE),""))</f>
        <v>0</v>
      </c>
      <c r="L52" s="2">
        <f>IF(F52=LookupTabellen!$A$6,0,IFERROR(ABS(VLOOKUP(A52,Fragenkatalog!A:N,14,FALSE)),""))</f>
        <v>0.25</v>
      </c>
      <c r="M52" s="2" t="str">
        <f>IFERROR((IF(VLOOKUP(A52,Fragenkatalog!A:N,14,FALSE)&lt;0,-4,0)+VLOOKUP(F52,LookupTabellen!$A$3:$B$7,2,FALSE))*VLOOKUP(A52,Fragenkatalog!A:N,14,FALSE),"")</f>
        <v/>
      </c>
      <c r="N52" s="2">
        <f>IFERROR(VLOOKUP(G52,LookupTabellen!$D$3:$E$5,2,FALSE)*AND(H52&lt;&gt;"Antwort auswählen",F52&lt;&gt;LookupTabellen!$A$6,F52&lt;&gt;LookupTabellen!$A$7),0)</f>
        <v>0</v>
      </c>
      <c r="O52" s="1" t="str">
        <f>IF(F52=LookupTabellen!$A$3,IF(VLOOKUP($A52,Fragenkatalog!$A$1:$L$61,MATCH($C$13,Fragenkatalog!$1:$1,0),FALSE)=0,"",CONCATENATE(VLOOKUP(H52,LookupTabellen!$H$2:$I$3,2,FALSE),VLOOKUP($A52,Fragenkatalog!$A$1:$L$61,MATCH($C$13,Fragenkatalog!$1:$1,0),FALSE))),"")</f>
        <v/>
      </c>
      <c r="P52" s="2" t="str">
        <f>IF(O52="",IF(OR(F52=LookupTabellen!$A$6,F52="",G52=LookupTabellen!$D$3),IF(VLOOKUP($A52,Fragenkatalog!$A$1:$L$61,MATCH("Frage",Fragenkatalog!$1:$1,0),FALSE)=0,"",CONCATENATE(VLOOKUP(H52,LookupTabellen!$H$2:$I$3,2,FALSE),VLOOKUP($A52,Fragenkatalog!$A$1:$L$61,MATCH("Frage",Fragenkatalog!$1:$1,0),FALSE))),""),"")</f>
        <v>Ist die Hardware durch Aufwand nicht replizierbar?</v>
      </c>
      <c r="Q52" s="78" t="str">
        <f>VLOOKUP($A52,Fragenkatalog!$A$1:$L$61,MATCH(Q$47,Fragenkatalog!$1:$1,0),FALSE)</f>
        <v>Wie groß wäre der Aufwand, um vergleichbare Hardware herzustellen? Der Aufwand kann sich auf benötigte Ressourcen (Zeit, Geld, spezielle Technologien, Daten) aber auch Know-how (Entwicklung, Forschung) beziehen.</v>
      </c>
      <c r="U52" s="26"/>
      <c r="V52" s="54"/>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row>
    <row r="53" spans="1:62" ht="45.75" thickBot="1" x14ac:dyDescent="0.3">
      <c r="A53" s="135" t="s">
        <v>76</v>
      </c>
      <c r="B53" s="136" t="str">
        <f>VLOOKUP($A53,Fragenkatalog!$A$1:$L$61,MATCH(B$47,Fragenkatalog!$1:$1,0),FALSE)</f>
        <v>Kann mit der Verwertung der Hardware Gewinn erzielt werden?</v>
      </c>
      <c r="C53" s="137" t="str">
        <f>_xlfn.CONCAT("Nein: ",VLOOKUP($A53,Fragenkatalog!$A$1:$L$61,MATCH(C$13,Fragenkatalog!$1:$1,0),FALSE))</f>
        <v>Nein: Es wird ein Verlust erwartet.</v>
      </c>
      <c r="D53" s="137" t="str">
        <f>VLOOKUP($A53,Fragenkatalog!$A$1:$L$61,MATCH(D$47,Fragenkatalog!$1:$1,0),FALSE)</f>
        <v>Die Verwertung wäre kostenneutral.</v>
      </c>
      <c r="E53" s="137" t="str">
        <f>_xlfn.CONCAT("Ja: ",VLOOKUP($A53,Fragenkatalog!$A$1:$L$61,MATCH(E$13,Fragenkatalog!$1:$1,0),FALSE))</f>
        <v>Ja: Ein Gewinn wird erwartet.</v>
      </c>
      <c r="F53" s="89"/>
      <c r="G53" s="90"/>
      <c r="H53" s="90" t="s">
        <v>39</v>
      </c>
      <c r="I53" s="2">
        <f>IF(F53=LookupTabellen!$A$7,0,IFERROR(VLOOKUP(A53,Fragenkatalog!A:N,13,FALSE),""))</f>
        <v>1</v>
      </c>
      <c r="J53" s="2">
        <f>IF(OR(F53="",AND(G53="",F53&lt;&gt;LookupTabellen!$A$6,F53&lt;&gt;LookupTabellen!$A$7)),0,IFERROR(VLOOKUP(F53,LookupTabellen!$A$3:$B$7,2,FALSE)*VLOOKUP(A53,Fragenkatalog!A:N,13,FALSE),""))</f>
        <v>0</v>
      </c>
      <c r="K53" s="2">
        <f>IF(OR(F53="",AND(G53="",F53&lt;&gt;LookupTabellen!$A$6,F53&lt;&gt;LookupTabellen!$A$7)),0,IFERROR(VLOOKUP(F53,LookupTabellen!$A$3:$C$7,3,FALSE)*VLOOKUP(G53,LookupTabellen!$D$3:$F$5,3,FALSE)*VLOOKUP(A53,Fragenkatalog!A:N,13,FALSE),""))</f>
        <v>0</v>
      </c>
      <c r="L53" s="2">
        <f>IF(F53=LookupTabellen!$A$6,0,IFERROR(ABS(VLOOKUP(A53,Fragenkatalog!A:N,14,FALSE)),""))</f>
        <v>1</v>
      </c>
      <c r="M53" s="2" t="str">
        <f>IFERROR((IF(VLOOKUP(A53,Fragenkatalog!A:N,14,FALSE)&lt;0,-4,0)+VLOOKUP(F53,LookupTabellen!$A$3:$B$7,2,FALSE))*VLOOKUP(A53,Fragenkatalog!A:N,14,FALSE),"")</f>
        <v/>
      </c>
      <c r="N53" s="2">
        <f>IFERROR(VLOOKUP(G53,LookupTabellen!$D$3:$E$5,2,FALSE)*AND(H53&lt;&gt;"Antwort auswählen",F53&lt;&gt;LookupTabellen!$A$6,F53&lt;&gt;LookupTabellen!$A$7),0)</f>
        <v>0</v>
      </c>
      <c r="O53" s="1" t="str">
        <f>IF(F53=LookupTabellen!$A$3,IF(VLOOKUP($A53,Fragenkatalog!$A$1:$L$61,MATCH($C$13,Fragenkatalog!$1:$1,0),FALSE)=0,"",CONCATENATE(VLOOKUP(H53,LookupTabellen!$H$2:$I$3,2,FALSE),VLOOKUP($A53,Fragenkatalog!$A$1:$L$61,MATCH($C$13,Fragenkatalog!$1:$1,0),FALSE))),"")</f>
        <v/>
      </c>
      <c r="P53" s="2" t="str">
        <f>IF(O53="",IF(OR(F53=LookupTabellen!$A$6,F53="",G53=LookupTabellen!$D$3),IF(VLOOKUP($A53,Fragenkatalog!$A$1:$L$61,MATCH("Frage",Fragenkatalog!$1:$1,0),FALSE)=0,"",CONCATENATE(VLOOKUP(H53,LookupTabellen!$H$2:$I$3,2,FALSE),VLOOKUP($A53,Fragenkatalog!$A$1:$L$61,MATCH("Frage",Fragenkatalog!$1:$1,0),FALSE))),""),"")</f>
        <v>Kann mit der Verwertung der Hardware Gewinn erzielt werden?</v>
      </c>
      <c r="Q53" s="138" t="str">
        <f>VLOOKUP($A53,Fragenkatalog!$A$1:$L$61,MATCH(Q$47,Fragenkatalog!$1:$1,0),FALSE)</f>
        <v>Mit Gewinn ist ein positiver „return of investment“ gemeint.</v>
      </c>
      <c r="U53" s="26"/>
      <c r="V53" s="54"/>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row>
    <row r="54" spans="1:62" ht="24" thickBot="1" x14ac:dyDescent="0.3">
      <c r="A54" s="51"/>
      <c r="B54" s="51"/>
      <c r="C54" s="51"/>
      <c r="D54" s="51"/>
      <c r="E54" s="133">
        <f>IFERROR(SUM(K47:K53)/SUM(I47:I53),0)</f>
        <v>0</v>
      </c>
      <c r="F54" s="134">
        <f>IFERROR(SUM(J47:J53)/SUM(I47:I53),0)</f>
        <v>0</v>
      </c>
      <c r="G54" s="134">
        <f>IFERROR(SUM(N48:N53)/(COUNTIF(F48:F53,"&lt;&gt;nicht relevant")),"Bewertung nicht möglich")</f>
        <v>0</v>
      </c>
      <c r="Q54" s="1"/>
      <c r="U54" s="26"/>
      <c r="V54" s="54"/>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row>
    <row r="55" spans="1:62" x14ac:dyDescent="0.25">
      <c r="A55" s="51"/>
      <c r="B55" s="51"/>
      <c r="C55" s="51"/>
      <c r="D55" s="51"/>
      <c r="E55" s="79" t="s">
        <v>48</v>
      </c>
      <c r="F55" s="79" t="s">
        <v>49</v>
      </c>
      <c r="G55" s="79" t="s">
        <v>7</v>
      </c>
      <c r="H55" s="51"/>
      <c r="I55" s="51"/>
      <c r="J55" s="51"/>
      <c r="K55" s="51"/>
      <c r="L55" s="51"/>
      <c r="M55" s="51"/>
      <c r="N55" s="51"/>
      <c r="O55" s="51"/>
      <c r="P55" s="51"/>
      <c r="Q55" s="51"/>
      <c r="U55" s="26"/>
      <c r="V55" s="54"/>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row>
    <row r="56" spans="1:62" x14ac:dyDescent="0.25">
      <c r="A56" s="51"/>
      <c r="B56" s="51"/>
      <c r="C56" s="51"/>
      <c r="D56" s="51"/>
      <c r="E56" s="51"/>
      <c r="F56" s="51"/>
      <c r="Q56" s="51"/>
      <c r="R56" s="80"/>
      <c r="S56" s="80"/>
      <c r="T56" s="54"/>
      <c r="V56" s="54"/>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row>
    <row r="57" spans="1:62" x14ac:dyDescent="0.25">
      <c r="A57" s="51"/>
      <c r="B57" s="51"/>
      <c r="C57" s="51"/>
      <c r="D57" s="51"/>
      <c r="E57" s="51"/>
      <c r="F57" s="51"/>
      <c r="Q57" s="51"/>
      <c r="R57" s="80"/>
      <c r="S57" s="80"/>
      <c r="T57" s="54"/>
      <c r="V57" s="54"/>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row>
    <row r="58" spans="1:62" x14ac:dyDescent="0.25">
      <c r="A58" s="51"/>
      <c r="B58" s="51"/>
      <c r="C58" s="51"/>
      <c r="D58" s="51"/>
      <c r="E58" s="51"/>
      <c r="F58" s="51"/>
      <c r="Q58" s="51"/>
      <c r="R58" s="80"/>
      <c r="S58" s="80"/>
      <c r="T58" s="54"/>
      <c r="V58" s="54"/>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row>
    <row r="59" spans="1:62" x14ac:dyDescent="0.25">
      <c r="A59" s="51"/>
      <c r="B59" s="51"/>
      <c r="C59" s="51"/>
      <c r="D59" s="51"/>
      <c r="E59" s="51"/>
      <c r="F59" s="51"/>
      <c r="Q59" s="51"/>
      <c r="R59" s="80"/>
      <c r="S59" s="80"/>
      <c r="T59" s="54"/>
      <c r="V59" s="54"/>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row>
    <row r="60" spans="1:62" x14ac:dyDescent="0.25">
      <c r="A60" s="51"/>
      <c r="B60" s="51"/>
      <c r="C60" s="51"/>
      <c r="D60" s="51"/>
      <c r="E60" s="51"/>
      <c r="F60" s="51"/>
      <c r="Q60" s="51"/>
      <c r="R60" s="80"/>
      <c r="S60" s="80"/>
      <c r="T60" s="54"/>
      <c r="V60" s="54"/>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row>
    <row r="61" spans="1:62" x14ac:dyDescent="0.25">
      <c r="A61" s="51"/>
      <c r="B61" s="51"/>
      <c r="C61" s="51"/>
      <c r="D61" s="51"/>
      <c r="E61" s="51"/>
      <c r="F61" s="51"/>
      <c r="Q61" s="51"/>
      <c r="R61" s="80"/>
      <c r="S61" s="80"/>
      <c r="T61" s="54"/>
      <c r="V61" s="54"/>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row>
    <row r="62" spans="1:62" x14ac:dyDescent="0.25">
      <c r="A62" s="51"/>
      <c r="B62" s="51"/>
      <c r="C62" s="51"/>
      <c r="D62" s="51"/>
      <c r="E62" s="51"/>
      <c r="F62" s="51"/>
      <c r="Q62" s="51"/>
      <c r="R62" s="80"/>
      <c r="S62" s="80"/>
      <c r="T62" s="54"/>
      <c r="V62" s="54"/>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row>
    <row r="63" spans="1:62" x14ac:dyDescent="0.25">
      <c r="A63" s="51"/>
      <c r="B63" s="51"/>
      <c r="C63" s="51"/>
      <c r="D63" s="51"/>
      <c r="E63" s="51"/>
      <c r="F63" s="51"/>
      <c r="Q63" s="51"/>
      <c r="R63" s="80"/>
      <c r="S63" s="80"/>
      <c r="T63" s="54"/>
      <c r="V63" s="54"/>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row>
    <row r="64" spans="1:62" x14ac:dyDescent="0.25">
      <c r="A64" s="51"/>
      <c r="B64" s="51"/>
      <c r="C64" s="51"/>
      <c r="D64" s="51"/>
      <c r="E64" s="51"/>
      <c r="F64" s="51"/>
      <c r="G64" s="51"/>
      <c r="H64" s="51"/>
      <c r="I64" s="51"/>
      <c r="J64" s="51"/>
      <c r="K64" s="51"/>
      <c r="L64" s="51"/>
      <c r="M64" s="51"/>
      <c r="N64" s="51"/>
      <c r="O64" s="51"/>
      <c r="P64" s="51"/>
      <c r="Q64" s="51"/>
      <c r="R64" s="80"/>
      <c r="S64" s="80"/>
      <c r="T64" s="54"/>
      <c r="V64" s="54"/>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row>
    <row r="65" spans="1:62" x14ac:dyDescent="0.25">
      <c r="A65" s="51"/>
      <c r="B65" s="51"/>
      <c r="C65" s="51"/>
      <c r="D65" s="51"/>
      <c r="E65" s="51"/>
      <c r="F65" s="51"/>
      <c r="G65" s="51"/>
      <c r="H65" s="51"/>
      <c r="I65" s="51"/>
      <c r="J65" s="51"/>
      <c r="K65" s="51"/>
      <c r="L65" s="51"/>
      <c r="M65" s="51"/>
      <c r="N65" s="51"/>
      <c r="O65" s="51"/>
      <c r="P65" s="51"/>
      <c r="Q65" s="51"/>
      <c r="R65" s="80"/>
      <c r="S65" s="80"/>
      <c r="T65" s="54"/>
      <c r="V65" s="54"/>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row>
    <row r="66" spans="1:62" x14ac:dyDescent="0.25">
      <c r="A66" s="51"/>
      <c r="B66" s="51"/>
      <c r="C66" s="51"/>
      <c r="D66" s="51"/>
      <c r="E66" s="51"/>
      <c r="F66" s="51"/>
      <c r="G66" s="51"/>
      <c r="H66" s="51"/>
      <c r="I66" s="51"/>
      <c r="J66" s="51"/>
      <c r="K66" s="51"/>
      <c r="L66" s="51"/>
      <c r="M66" s="51"/>
      <c r="N66" s="51"/>
      <c r="O66" s="51"/>
      <c r="P66" s="51"/>
      <c r="Q66" s="51"/>
      <c r="R66" s="80"/>
      <c r="S66" s="80"/>
      <c r="T66" s="54"/>
      <c r="V66" s="54"/>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row>
    <row r="67" spans="1:62" x14ac:dyDescent="0.25">
      <c r="A67" s="51"/>
      <c r="B67" s="51"/>
      <c r="C67" s="51"/>
      <c r="D67" s="51"/>
      <c r="E67" s="51"/>
      <c r="F67" s="51"/>
      <c r="G67" s="51"/>
      <c r="H67" s="51"/>
      <c r="I67" s="51"/>
      <c r="J67" s="51"/>
      <c r="K67" s="51"/>
      <c r="L67" s="51"/>
      <c r="M67" s="51"/>
      <c r="N67" s="51"/>
      <c r="O67" s="51"/>
      <c r="P67" s="51"/>
      <c r="Q67" s="51"/>
      <c r="R67" s="80"/>
      <c r="S67" s="80"/>
      <c r="T67" s="54"/>
      <c r="V67" s="54"/>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row>
    <row r="68" spans="1:62" x14ac:dyDescent="0.25">
      <c r="A68" s="51"/>
      <c r="B68" s="51"/>
      <c r="C68" s="51"/>
      <c r="D68" s="51"/>
      <c r="E68" s="51"/>
      <c r="F68" s="51"/>
      <c r="G68" s="51"/>
      <c r="H68" s="51"/>
      <c r="I68" s="51"/>
      <c r="J68" s="51"/>
      <c r="K68" s="51"/>
      <c r="L68" s="51"/>
      <c r="M68" s="51"/>
      <c r="N68" s="51"/>
      <c r="O68" s="51"/>
      <c r="P68" s="51"/>
      <c r="Q68" s="51"/>
      <c r="R68" s="80"/>
      <c r="S68" s="80"/>
      <c r="T68" s="54"/>
      <c r="V68" s="54"/>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row>
    <row r="69" spans="1:62" x14ac:dyDescent="0.25">
      <c r="A69" s="2"/>
      <c r="B69" s="2"/>
      <c r="C69" s="2"/>
      <c r="D69" s="2"/>
      <c r="E69" s="2"/>
      <c r="F69" s="2"/>
      <c r="G69" s="2"/>
      <c r="H69" s="2"/>
      <c r="I69" s="2"/>
      <c r="J69" s="2"/>
      <c r="K69" s="2"/>
      <c r="L69" s="2"/>
      <c r="M69" s="2"/>
      <c r="N69" s="2"/>
      <c r="O69" s="2"/>
      <c r="P69" s="2"/>
      <c r="R69" s="54"/>
      <c r="S69" s="54"/>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row>
  </sheetData>
  <sheetProtection selectLockedCells="1"/>
  <dataConsolidate/>
  <mergeCells count="16">
    <mergeCell ref="A6:B9"/>
    <mergeCell ref="C6:D9"/>
    <mergeCell ref="A10:D10"/>
    <mergeCell ref="A11:G11"/>
    <mergeCell ref="A46:Q46"/>
    <mergeCell ref="A36:Q36"/>
    <mergeCell ref="A25:Q25"/>
    <mergeCell ref="A12:Q12"/>
    <mergeCell ref="A1:G1"/>
    <mergeCell ref="A3:D3"/>
    <mergeCell ref="E3:G3"/>
    <mergeCell ref="A4:B4"/>
    <mergeCell ref="A5:B5"/>
    <mergeCell ref="C4:D4"/>
    <mergeCell ref="C5:D5"/>
    <mergeCell ref="A2:G2"/>
  </mergeCells>
  <dataValidations xWindow="1305" yWindow="766" count="4">
    <dataValidation type="list" allowBlank="1" showInputMessage="1" showErrorMessage="1" sqref="B13 B26 B37 B47" xr:uid="{E22516E2-5362-994F-9DD0-B4F33306A20E}">
      <formula1>"Frage,Satz"</formula1>
    </dataValidation>
    <dataValidation type="decimal" allowBlank="1" showInputMessage="1" showErrorMessage="1" errorTitle="Achtung" error="Hier bitte eintragen ab welchen Wert eine Dimension als erfüllt gilt._x000a_Wert zwischen 0 und 9 eintragen." promptTitle="Schwellenwert Toleranz" prompt="Hier bitte eintragen ab welchen Wert eine Dimension als erfüllt gilt._x000a_Prozentwert eingeben." sqref="F5:F9" xr:uid="{05A76D51-AE94-1C40-88FC-324C684C842B}">
      <formula1>0</formula1>
      <formula2>9</formula2>
    </dataValidation>
    <dataValidation type="decimal" allowBlank="1" showInputMessage="1" showErrorMessage="1" errorTitle="Achtung" error="Wieviel Prozent der relevanten Fragen sollten beantwortet werden. Bitte einen Prozentwert zwischen 0 und 100 eingeben." promptTitle="Schwellenwert Zuversicht" prompt="Wieviel Prozent der relevanten Fragen sollten beantwortet werden um eine aussagekräftige Berwertung zu erhalten. Bitte einen Prozentwert zwischen 0 und 100 eingeben." sqref="G5:G9" xr:uid="{D8304C6D-6337-3C46-A741-AFB8D75397C0}">
      <formula1>0</formula1>
      <formula2>1</formula2>
    </dataValidation>
    <dataValidation allowBlank="1" showErrorMessage="1" sqref="M6:P7 I4:I9 J10:P10 L8:P9 J3:P5 K4:K9" xr:uid="{9CB2F165-6A0A-D646-BC2E-A5E965EC0E9B}"/>
  </dataValidations>
  <pageMargins left="0.7" right="0.7" top="0.78740157499999996" bottom="0.78740157499999996" header="0.3" footer="0.3"/>
  <pageSetup paperSize="9" orientation="portrait" r:id="rId1"/>
  <ignoredErrors>
    <ignoredError sqref="C21:C22 C28:C33 C49:C53 C39:C43 C14:C18" formula="1"/>
  </ignoredErrors>
  <drawing r:id="rId2"/>
  <extLst>
    <ext xmlns:x14="http://schemas.microsoft.com/office/spreadsheetml/2009/9/main" uri="{78C0D931-6437-407d-A8EE-F0AAD7539E65}">
      <x14:conditionalFormattings>
        <x14:conditionalFormatting xmlns:xm="http://schemas.microsoft.com/office/excel/2006/main">
          <x14:cfRule type="iconSet" priority="173" id="{21DA533D-343A-9747-9251-D892ACAA9068}">
            <x14:iconSet iconSet="3Symbols2" custom="1">
              <x14:cfvo type="percent">
                <xm:f>0</xm:f>
              </x14:cfvo>
              <x14:cfvo type="num">
                <xm:f>0</xm:f>
              </x14:cfvo>
              <x14:cfvo type="num">
                <xm:f>$F$23</xm:f>
              </x14:cfvo>
              <x14:cfIcon iconSet="NoIcons" iconId="0"/>
              <x14:cfIcon iconSet="3Symbols2" iconId="2"/>
              <x14:cfIcon iconSet="3Symbols2" iconId="1"/>
            </x14:iconSet>
          </x14:cfRule>
          <xm:sqref>F5</xm:sqref>
        </x14:conditionalFormatting>
        <x14:conditionalFormatting xmlns:xm="http://schemas.microsoft.com/office/excel/2006/main">
          <x14:cfRule type="iconSet" priority="170" id="{7815548B-EF8F-1642-B240-B5733DAC3005}">
            <x14:iconSet iconSet="3Symbols2" custom="1">
              <x14:cfvo type="percent">
                <xm:f>0</xm:f>
              </x14:cfvo>
              <x14:cfvo type="num">
                <xm:f>0</xm:f>
              </x14:cfvo>
              <x14:cfvo type="num" gte="0">
                <xm:f>$F$34</xm:f>
              </x14:cfvo>
              <x14:cfIcon iconSet="NoIcons" iconId="0"/>
              <x14:cfIcon iconSet="3Symbols2" iconId="2"/>
              <x14:cfIcon iconSet="3Symbols2" iconId="1"/>
            </x14:iconSet>
          </x14:cfRule>
          <xm:sqref>F6</xm:sqref>
        </x14:conditionalFormatting>
        <x14:conditionalFormatting xmlns:xm="http://schemas.microsoft.com/office/excel/2006/main">
          <x14:cfRule type="iconSet" priority="171" id="{DF6FB944-7722-284E-8A47-8FD747B1E94E}">
            <x14:iconSet iconSet="3Symbols2" custom="1">
              <x14:cfvo type="percent">
                <xm:f>0</xm:f>
              </x14:cfvo>
              <x14:cfvo type="num">
                <xm:f>0</xm:f>
              </x14:cfvo>
              <x14:cfvo type="num" gte="0">
                <xm:f>$F$44</xm:f>
              </x14:cfvo>
              <x14:cfIcon iconSet="NoIcons" iconId="0"/>
              <x14:cfIcon iconSet="3Symbols2" iconId="2"/>
              <x14:cfIcon iconSet="3Symbols2" iconId="1"/>
            </x14:iconSet>
          </x14:cfRule>
          <xm:sqref>F7</xm:sqref>
        </x14:conditionalFormatting>
        <x14:conditionalFormatting xmlns:xm="http://schemas.microsoft.com/office/excel/2006/main">
          <x14:cfRule type="iconSet" priority="172" id="{F029CC12-C1CB-F14B-AAB1-8AE2842DAAF3}">
            <x14:iconSet custom="1">
              <x14:cfvo type="percent">
                <xm:f>0</xm:f>
              </x14:cfvo>
              <x14:cfvo type="num">
                <xm:f>0</xm:f>
              </x14:cfvo>
              <x14:cfvo type="num" gte="0">
                <xm:f>$F$54</xm:f>
              </x14:cfvo>
              <x14:cfIcon iconSet="NoIcons" iconId="0"/>
              <x14:cfIcon iconSet="3Symbols2" iconId="2"/>
              <x14:cfIcon iconSet="3Symbols2" iconId="1"/>
            </x14:iconSet>
          </x14:cfRule>
          <xm:sqref>F8</xm:sqref>
        </x14:conditionalFormatting>
        <x14:conditionalFormatting xmlns:xm="http://schemas.microsoft.com/office/excel/2006/main">
          <x14:cfRule type="iconSet" priority="164" id="{25ACF234-AF0D-2842-9FEF-CA4864255D4B}">
            <x14:iconSet iconSet="3Symbols2" custom="1">
              <x14:cfvo type="percent">
                <xm:f>0</xm:f>
              </x14:cfvo>
              <x14:cfvo type="num">
                <xm:f>0</xm:f>
              </x14:cfvo>
              <x14:cfvo type="num" gte="0">
                <xm:f>$I$9</xm:f>
              </x14:cfvo>
              <x14:cfIcon iconSet="NoIcons" iconId="0"/>
              <x14:cfIcon iconSet="3Symbols2" iconId="2"/>
              <x14:cfIcon iconSet="3Symbols2" iconId="1"/>
            </x14:iconSet>
          </x14:cfRule>
          <xm:sqref>F9</xm:sqref>
        </x14:conditionalFormatting>
        <x14:conditionalFormatting xmlns:xm="http://schemas.microsoft.com/office/excel/2006/main">
          <x14:cfRule type="iconSet" priority="177" id="{FD19BA95-83FB-E540-8B7D-68867376B5BD}">
            <x14:iconSet iconSet="3Symbols2" custom="1">
              <x14:cfvo type="percent">
                <xm:f>0</xm:f>
              </x14:cfvo>
              <x14:cfvo type="num">
                <xm:f>0</xm:f>
              </x14:cfvo>
              <x14:cfvo type="num">
                <xm:f>$F$23</xm:f>
              </x14:cfvo>
              <x14:cfIcon iconSet="NoIcons" iconId="0"/>
              <x14:cfIcon iconSet="3Symbols2" iconId="2"/>
              <x14:cfIcon iconSet="3Symbols2" iconId="1"/>
            </x14:iconSet>
          </x14:cfRule>
          <xm:sqref>I5</xm:sqref>
        </x14:conditionalFormatting>
        <x14:conditionalFormatting xmlns:xm="http://schemas.microsoft.com/office/excel/2006/main">
          <x14:cfRule type="iconSet" priority="174" id="{A25D2A69-BEAA-B947-92A6-67553959135C}">
            <x14:iconSet iconSet="3Symbols2" custom="1">
              <x14:cfvo type="percent">
                <xm:f>0</xm:f>
              </x14:cfvo>
              <x14:cfvo type="num">
                <xm:f>0</xm:f>
              </x14:cfvo>
              <x14:cfvo type="num" gte="0">
                <xm:f>$F$34</xm:f>
              </x14:cfvo>
              <x14:cfIcon iconSet="NoIcons" iconId="0"/>
              <x14:cfIcon iconSet="3Symbols2" iconId="2"/>
              <x14:cfIcon iconSet="3Symbols2" iconId="1"/>
            </x14:iconSet>
          </x14:cfRule>
          <xm:sqref>I6</xm:sqref>
        </x14:conditionalFormatting>
        <x14:conditionalFormatting xmlns:xm="http://schemas.microsoft.com/office/excel/2006/main">
          <x14:cfRule type="iconSet" priority="175" id="{0A291728-AB0C-F349-B2FB-1BFFACF6CA2A}">
            <x14:iconSet iconSet="3Symbols2" custom="1">
              <x14:cfvo type="percent">
                <xm:f>0</xm:f>
              </x14:cfvo>
              <x14:cfvo type="num">
                <xm:f>0</xm:f>
              </x14:cfvo>
              <x14:cfvo type="num" gte="0">
                <xm:f>$F$44</xm:f>
              </x14:cfvo>
              <x14:cfIcon iconSet="NoIcons" iconId="0"/>
              <x14:cfIcon iconSet="3Symbols2" iconId="2"/>
              <x14:cfIcon iconSet="3Symbols2" iconId="1"/>
            </x14:iconSet>
          </x14:cfRule>
          <xm:sqref>I7</xm:sqref>
        </x14:conditionalFormatting>
        <x14:conditionalFormatting xmlns:xm="http://schemas.microsoft.com/office/excel/2006/main">
          <x14:cfRule type="iconSet" priority="176" id="{1C8F9FF7-14B1-F544-B1C7-103A6AFA0F2A}">
            <x14:iconSet custom="1">
              <x14:cfvo type="percent">
                <xm:f>0</xm:f>
              </x14:cfvo>
              <x14:cfvo type="num">
                <xm:f>0</xm:f>
              </x14:cfvo>
              <x14:cfvo type="num" gte="0">
                <xm:f>$F$54</xm:f>
              </x14:cfvo>
              <x14:cfIcon iconSet="NoIcons" iconId="0"/>
              <x14:cfIcon iconSet="3Symbols2" iconId="2"/>
              <x14:cfIcon iconSet="3Symbols2" iconId="1"/>
            </x14:iconSet>
          </x14:cfRule>
          <xm:sqref>I8</xm:sqref>
        </x14:conditionalFormatting>
        <x14:conditionalFormatting xmlns:xm="http://schemas.microsoft.com/office/excel/2006/main">
          <x14:cfRule type="iconSet" priority="5" id="{1CEA544C-5342-074D-A15E-F8F7D395E145}">
            <x14:iconSet iconSet="3Symbols2" custom="1">
              <x14:cfvo type="percent">
                <xm:f>0</xm:f>
              </x14:cfvo>
              <x14:cfvo type="num">
                <xm:f>0</xm:f>
              </x14:cfvo>
              <x14:cfvo type="num" gte="0">
                <xm:f>$I$9</xm:f>
              </x14:cfvo>
              <x14:cfIcon iconSet="NoIcons" iconId="0"/>
              <x14:cfIcon iconSet="3Symbols2" iconId="2"/>
              <x14:cfIcon iconSet="3Symbols2" iconId="1"/>
            </x14:iconSet>
          </x14:cfRule>
          <xm:sqref>I9</xm:sqref>
        </x14:conditionalFormatting>
        <x14:conditionalFormatting xmlns:xm="http://schemas.microsoft.com/office/excel/2006/main">
          <x14:cfRule type="iconSet" priority="178" id="{00000000-000E-0000-0000-000003000000}">
            <x14:iconSet iconSet="3Symbols2" custom="1">
              <x14:cfvo type="percent">
                <xm:f>0</xm:f>
              </x14:cfvo>
              <x14:cfvo type="num">
                <xm:f>0</xm:f>
              </x14:cfvo>
              <x14:cfvo type="num" gte="0">
                <xm:f>$G$44</xm:f>
              </x14:cfvo>
              <x14:cfIcon iconSet="NoIcons" iconId="0"/>
              <x14:cfIcon iconSet="3Symbols2" iconId="2"/>
              <x14:cfIcon iconSet="3Symbols2" iconId="1"/>
            </x14:iconSet>
          </x14:cfRule>
          <xm:sqref>K6 M6:P6 G7</xm:sqref>
        </x14:conditionalFormatting>
        <x14:conditionalFormatting xmlns:xm="http://schemas.microsoft.com/office/excel/2006/main">
          <x14:cfRule type="iconSet" priority="181" id="{00000000-000E-0000-0000-000001000000}">
            <x14:iconSet iconSet="3Symbols2" custom="1">
              <x14:cfvo type="percent">
                <xm:f>0</xm:f>
              </x14:cfvo>
              <x14:cfvo type="num">
                <xm:f>0</xm:f>
              </x14:cfvo>
              <x14:cfvo type="num" gte="0">
                <xm:f>$G$54</xm:f>
              </x14:cfvo>
              <x14:cfIcon iconSet="NoIcons" iconId="0"/>
              <x14:cfIcon iconSet="3Symbols2" iconId="2"/>
              <x14:cfIcon iconSet="3Symbols2" iconId="1"/>
            </x14:iconSet>
          </x14:cfRule>
          <xm:sqref>K7 M7:P7 G8</xm:sqref>
        </x14:conditionalFormatting>
        <x14:conditionalFormatting xmlns:xm="http://schemas.microsoft.com/office/excel/2006/main">
          <x14:cfRule type="iconSet" priority="169" id="{00000000-000E-0000-0000-000002000000}">
            <x14:iconSet iconSet="3Symbols2" custom="1">
              <x14:cfvo type="percent">
                <xm:f>0</xm:f>
              </x14:cfvo>
              <x14:cfvo type="num">
                <xm:f>0</xm:f>
              </x14:cfvo>
              <x14:cfvo type="num" gte="0">
                <xm:f>$J$5</xm:f>
              </x14:cfvo>
              <x14:cfIcon iconSet="NoIcons" iconId="0"/>
              <x14:cfIcon iconSet="3Symbols2" iconId="2"/>
              <x14:cfIcon iconSet="3Symbols2" iconId="1"/>
            </x14:iconSet>
          </x14:cfRule>
          <xm:sqref>K8:P8 G9</xm:sqref>
        </x14:conditionalFormatting>
        <x14:conditionalFormatting xmlns:xm="http://schemas.microsoft.com/office/excel/2006/main">
          <x14:cfRule type="iconSet" priority="186" id="{00000000-000E-0000-0000-000006000000}">
            <x14:iconSet iconSet="3Symbols2" custom="1">
              <x14:cfvo type="percent">
                <xm:f>0</xm:f>
              </x14:cfvo>
              <x14:cfvo type="num">
                <xm:f>0</xm:f>
              </x14:cfvo>
              <x14:cfvo type="num" gte="0">
                <xm:f>$G$23</xm:f>
              </x14:cfvo>
              <x14:cfIcon iconSet="NoIcons" iconId="0"/>
              <x14:cfIcon iconSet="3Symbols2" iconId="2"/>
              <x14:cfIcon iconSet="3Symbols2" iconId="1"/>
            </x14:iconSet>
          </x14:cfRule>
          <xm:sqref>L4:P4 G5</xm:sqref>
        </x14:conditionalFormatting>
        <x14:conditionalFormatting xmlns:xm="http://schemas.microsoft.com/office/excel/2006/main">
          <x14:cfRule type="iconSet" priority="184" id="{00000000-000E-0000-0000-000004000000}">
            <x14:iconSet iconSet="3Symbols2" custom="1">
              <x14:cfvo type="percent">
                <xm:f>0</xm:f>
              </x14:cfvo>
              <x14:cfvo type="num">
                <xm:f>0</xm:f>
              </x14:cfvo>
              <x14:cfvo type="num" gte="0">
                <xm:f>$G$34</xm:f>
              </x14:cfvo>
              <x14:cfIcon iconSet="NoIcons" iconId="0"/>
              <x14:cfIcon iconSet="3Symbols2" iconId="2"/>
              <x14:cfIcon iconSet="3Symbols2" iconId="1"/>
            </x14:iconSet>
          </x14:cfRule>
          <xm:sqref>L5:P5 G6</xm:sqref>
        </x14:conditionalFormatting>
      </x14:conditionalFormattings>
    </ext>
    <ext xmlns:x14="http://schemas.microsoft.com/office/spreadsheetml/2009/9/main" uri="{CCE6A557-97BC-4b89-ADB6-D9C93CAAB3DF}">
      <x14:dataValidations xmlns:xm="http://schemas.microsoft.com/office/excel/2006/main" xWindow="1305" yWindow="766" count="3">
        <x14:dataValidation type="list" allowBlank="1" showInputMessage="1" showErrorMessage="1" prompt="Bitte die passende Antwort auswählen:_x000a__x000a_nein: trifft nicht zu_x000a_dazwischen: trifft nur teilweise zu_x000a_ja: trifft vollständig zu_x000a_nicht relevant: Frage für die aktuelle Software nicht benötigt_x000a_keine Antwort möglich: noch nicht genug Informationen für eine Beantw" xr:uid="{E8E5AE93-BF62-0D4F-BD4C-8B0E90B19DEF}">
          <x14:formula1>
            <xm:f>LookupTabellen!$A$3:$A$7</xm:f>
          </x14:formula1>
          <xm:sqref>F48:F53 F27:F33 F38:F43 F14:F22</xm:sqref>
        </x14:dataValidation>
        <x14:dataValidation type="list" allowBlank="1" showInputMessage="1" showErrorMessage="1" promptTitle="Zuversicht" prompt="Wie sicher sind sie sich mit der Antwort zu der aktuellen Frage. " xr:uid="{C7006D43-1352-F049-9E0F-7B12E6D65192}">
          <x14:formula1>
            <xm:f>LookupTabellen!$D$3:$D$5</xm:f>
          </x14:formula1>
          <xm:sqref>G48:G53 G27:G33 G38:G43 G14:G22</xm:sqref>
        </x14:dataValidation>
        <x14:dataValidation type="list" allowBlank="1" showInputMessage="1" showErrorMessage="1" promptTitle="Kritische Frage" prompt="Handelt es sich um eine kritische Frage, welche bei der Auswertung gesondert hervorgehoben wird, sollte es hier Hindernisse geben?" xr:uid="{FFD84D34-6E7F-C64B-A942-558D2A766896}">
          <x14:formula1>
            <xm:f>LookupTabellen!$H$2:$H$3</xm:f>
          </x14:formula1>
          <xm:sqref>H48:H53 H27:H33 H38:H43 H14:H22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4CBFB-C184-664A-ADA1-55AFDD8B1C74}">
  <dimension ref="A1:X53"/>
  <sheetViews>
    <sheetView showWhiteSpace="0" view="pageLayout" zoomScale="130" zoomScaleNormal="100" zoomScalePageLayoutView="130" workbookViewId="0">
      <selection activeCell="C24" sqref="C24"/>
    </sheetView>
  </sheetViews>
  <sheetFormatPr baseColWidth="10" defaultColWidth="11.42578125" defaultRowHeight="15" customHeight="1" x14ac:dyDescent="0.25"/>
  <cols>
    <col min="1" max="1" width="11.42578125" customWidth="1"/>
    <col min="2" max="2" width="3.140625" customWidth="1"/>
    <col min="3" max="3" width="8.140625" customWidth="1"/>
    <col min="4" max="4" width="9.28515625" customWidth="1"/>
    <col min="5" max="5" width="4.7109375" hidden="1" customWidth="1"/>
    <col min="6" max="6" width="11.5703125" customWidth="1"/>
    <col min="7" max="7" width="11.7109375" customWidth="1"/>
    <col min="8" max="9" width="10.140625" customWidth="1"/>
    <col min="10" max="10" width="8.85546875" customWidth="1"/>
    <col min="11" max="11" width="12.140625" style="47" hidden="1" customWidth="1"/>
    <col min="12" max="12" width="17.140625" customWidth="1"/>
    <col min="13" max="13" width="22" customWidth="1"/>
    <col min="14" max="14" width="11.140625" customWidth="1"/>
    <col min="15" max="15" width="32.28515625" customWidth="1"/>
    <col min="16" max="17" width="16.42578125" customWidth="1"/>
  </cols>
  <sheetData>
    <row r="1" spans="1:24" ht="15" customHeight="1" thickBot="1" x14ac:dyDescent="0.3">
      <c r="A1" s="29" t="s">
        <v>9</v>
      </c>
      <c r="B1" s="192" t="str">
        <f>IF(Bewertungsbogen!C5="","",Bewertungsbogen!C5)</f>
        <v/>
      </c>
      <c r="C1" s="193"/>
      <c r="D1" s="194"/>
      <c r="E1" s="195" t="s">
        <v>77</v>
      </c>
      <c r="F1" s="196"/>
      <c r="G1" s="192" t="str">
        <f>IF(Bewertungsbogen!C4="","",Bewertungsbogen!C4)</f>
        <v/>
      </c>
      <c r="H1" s="193"/>
      <c r="I1" s="193"/>
      <c r="J1" s="194"/>
      <c r="K1" s="197" t="s">
        <v>9</v>
      </c>
      <c r="L1" s="197"/>
      <c r="M1" s="95" t="str">
        <f>B1</f>
        <v/>
      </c>
      <c r="N1" s="46" t="s">
        <v>77</v>
      </c>
      <c r="O1" s="95" t="str">
        <f>G1</f>
        <v/>
      </c>
      <c r="P1" s="30"/>
      <c r="Q1" s="94"/>
      <c r="R1" s="94"/>
      <c r="S1" s="94"/>
      <c r="T1" s="94"/>
      <c r="U1" s="1"/>
      <c r="V1" s="1"/>
      <c r="W1" s="1"/>
    </row>
    <row r="2" spans="1:24" ht="15" customHeight="1" x14ac:dyDescent="0.25">
      <c r="A2" s="232" t="s">
        <v>78</v>
      </c>
      <c r="B2" s="233"/>
      <c r="C2" s="233"/>
      <c r="D2" s="234"/>
      <c r="F2" s="210" t="s">
        <v>10</v>
      </c>
      <c r="G2" s="211"/>
      <c r="H2" s="211"/>
      <c r="I2" s="211"/>
      <c r="J2" s="212"/>
      <c r="K2" s="47" t="str">
        <f>VLOOKUP(16-(C20&gt;D45)*8-(C21&gt;D46)*4-(C22&gt;D47)*2-(C23&gt;D48),Szenarien!A3:I19,9,FALSE)</f>
        <v>Projekt fallen lassen (15)</v>
      </c>
      <c r="L2" s="207" t="s">
        <v>79</v>
      </c>
      <c r="M2" s="207"/>
      <c r="N2" s="207"/>
      <c r="O2" s="207"/>
      <c r="P2" s="1"/>
      <c r="Q2" s="1"/>
      <c r="R2" s="1"/>
      <c r="S2" s="1"/>
      <c r="T2" s="1"/>
      <c r="U2" s="1"/>
      <c r="V2" s="1"/>
      <c r="W2" s="1"/>
    </row>
    <row r="3" spans="1:24" ht="15" customHeight="1" x14ac:dyDescent="0.25">
      <c r="A3" s="226" t="str">
        <f>IF(Bewertungsbogen!C6="","",Bewertungsbogen!C6)</f>
        <v/>
      </c>
      <c r="B3" s="227"/>
      <c r="C3" s="227"/>
      <c r="D3" s="228"/>
      <c r="F3" s="213" t="str">
        <f>_xlfn.CONCAT("Offene Fragen:",CHAR(10),_xlfn.TEXTJOIN(CHAR(10),TRUE,Bewertungsbogen!P14:P22),CHAR(10),CHAR(10),"Hindernisse:",CHAR(10),_xlfn.TEXTJOIN(CHAR(10),TRUE,Bewertungsbogen!O14:O22))</f>
        <v xml:space="preserve">Offene Fragen:
Ist die Hardware eine neuartige Erfindung?
Ist die Hardware in Verwendung?
Ist eine verwertbare Entwicklung der Hardware machbar?
Ist die Hardware ausreichend dokumentiert?
Können alle externen Komponenten für die Verwendung der Hardware eingesetzt werden?
Besteht die Hardware aus verschiedenen Komponenten, die jeweils separat verwertet werden können? 
Kann die Hardware ohne Einsatz von Software betrieben werden? 
Kann die Hardware ohne spezielle Zulassungen verwertet werden?
Lässt sich die Hardware unbedenklich für Umwelt, Mensch und/oder Gesellschaft verwenden?
Hindernisse:
</v>
      </c>
      <c r="G3" s="213"/>
      <c r="H3" s="213"/>
      <c r="I3" s="213"/>
      <c r="J3" s="213"/>
      <c r="K3" s="26"/>
      <c r="L3" s="223" t="str">
        <f>VLOOKUP(16-(C20&gt;D45)*8-(C21&gt;D46)*4-(C22&gt;D47)*2-(C23&gt;D48),Szenarien!A3:I19,9,FALSE)</f>
        <v>Projekt fallen lassen (15)</v>
      </c>
      <c r="M3" s="223"/>
      <c r="N3" s="223"/>
      <c r="O3" s="223"/>
      <c r="T3" s="1"/>
      <c r="U3" s="1"/>
      <c r="V3" s="1"/>
      <c r="W3" s="1"/>
    </row>
    <row r="4" spans="1:24" ht="15" customHeight="1" x14ac:dyDescent="0.25">
      <c r="A4" s="226"/>
      <c r="B4" s="227"/>
      <c r="C4" s="227"/>
      <c r="D4" s="228"/>
      <c r="F4" s="213"/>
      <c r="G4" s="213"/>
      <c r="H4" s="213"/>
      <c r="I4" s="213"/>
      <c r="J4" s="213"/>
      <c r="L4" s="223"/>
      <c r="M4" s="223"/>
      <c r="N4" s="223"/>
      <c r="O4" s="223"/>
      <c r="T4" s="1"/>
      <c r="U4" s="1"/>
      <c r="V4" s="1"/>
      <c r="W4" s="1"/>
    </row>
    <row r="5" spans="1:24" ht="15" customHeight="1" x14ac:dyDescent="0.25">
      <c r="A5" s="226"/>
      <c r="B5" s="227"/>
      <c r="C5" s="227"/>
      <c r="D5" s="228"/>
      <c r="F5" s="213"/>
      <c r="G5" s="213"/>
      <c r="H5" s="213"/>
      <c r="I5" s="213"/>
      <c r="J5" s="213"/>
      <c r="L5" s="223"/>
      <c r="M5" s="223"/>
      <c r="N5" s="223"/>
      <c r="O5" s="223"/>
      <c r="T5" s="1"/>
      <c r="U5" s="1"/>
      <c r="V5" s="1"/>
      <c r="W5" s="1"/>
    </row>
    <row r="6" spans="1:24" ht="15" customHeight="1" x14ac:dyDescent="0.25">
      <c r="A6" s="226"/>
      <c r="B6" s="227"/>
      <c r="C6" s="227"/>
      <c r="D6" s="228"/>
      <c r="F6" s="213"/>
      <c r="G6" s="213"/>
      <c r="H6" s="213"/>
      <c r="I6" s="213"/>
      <c r="J6" s="213"/>
      <c r="L6" s="223"/>
      <c r="M6" s="223"/>
      <c r="N6" s="223"/>
      <c r="O6" s="223"/>
      <c r="T6" s="1"/>
      <c r="U6" s="1"/>
      <c r="V6" s="1"/>
      <c r="W6" s="1"/>
    </row>
    <row r="7" spans="1:24" ht="15" customHeight="1" x14ac:dyDescent="0.25">
      <c r="A7" s="226"/>
      <c r="B7" s="227"/>
      <c r="C7" s="227"/>
      <c r="D7" s="228"/>
      <c r="F7" s="213"/>
      <c r="G7" s="213"/>
      <c r="H7" s="213"/>
      <c r="I7" s="213"/>
      <c r="J7" s="213"/>
      <c r="L7" s="223"/>
      <c r="M7" s="223"/>
      <c r="N7" s="223"/>
      <c r="O7" s="223"/>
      <c r="T7" s="1"/>
      <c r="U7" s="1"/>
      <c r="V7" s="1"/>
      <c r="W7" s="1"/>
    </row>
    <row r="8" spans="1:24" ht="15" customHeight="1" x14ac:dyDescent="0.25">
      <c r="A8" s="226"/>
      <c r="B8" s="227"/>
      <c r="C8" s="227"/>
      <c r="D8" s="228"/>
      <c r="F8" s="213"/>
      <c r="G8" s="213"/>
      <c r="H8" s="213"/>
      <c r="I8" s="213"/>
      <c r="J8" s="213"/>
      <c r="K8" s="26">
        <f>IFERROR(FIND("(",VLOOKUP(16-(C20&gt;D45)*8-(C21&gt;D46)*4-(C22&gt;D47)*2-(C23&gt;D48),Szenarien!A3:I19,9,FALSE))+1,"")</f>
        <v>24</v>
      </c>
      <c r="L8" s="183" t="str">
        <f>IFERROR(VLOOKUP(INT(MID($K$2,K8,FIND(")",$K$2,K8)-K8)),Handlungsempfehlungen!$A$2:$C$17,2,FALSE),"")</f>
        <v>Projekt fallen lassen</v>
      </c>
      <c r="M8" s="184" t="str">
        <f>IFERROR(VLOOKUP(INT(MID($K$2,K8,FIND(")",$K$2,K8)-K8)),Handlungsempfehlungen!$A$2:$C$17,3,FALSE),"")</f>
        <v>Die Bewertung ein letztes Mal prüfen, ob die Hardware tatsächlich so viele Defizite hinsichtlich der Verwertung hat. Wenn die Bewertung stimmt, sollte die Hardware fallen gelassen werden.</v>
      </c>
      <c r="N8" s="184"/>
      <c r="O8" s="184"/>
      <c r="T8" s="1"/>
      <c r="U8" s="1"/>
      <c r="V8" s="1"/>
      <c r="W8" s="1"/>
    </row>
    <row r="9" spans="1:24" ht="15" customHeight="1" x14ac:dyDescent="0.25">
      <c r="A9" s="226"/>
      <c r="B9" s="227"/>
      <c r="C9" s="227"/>
      <c r="D9" s="228"/>
      <c r="F9" s="213"/>
      <c r="G9" s="213"/>
      <c r="H9" s="213"/>
      <c r="I9" s="213"/>
      <c r="J9" s="213"/>
      <c r="L9" s="183"/>
      <c r="M9" s="184"/>
      <c r="N9" s="184"/>
      <c r="O9" s="184"/>
      <c r="T9" s="1"/>
      <c r="U9" s="1"/>
      <c r="V9" s="1"/>
      <c r="W9" s="1"/>
    </row>
    <row r="10" spans="1:24" ht="15" customHeight="1" x14ac:dyDescent="0.25">
      <c r="A10" s="226"/>
      <c r="B10" s="227"/>
      <c r="C10" s="227"/>
      <c r="D10" s="228"/>
      <c r="F10" s="213"/>
      <c r="G10" s="213"/>
      <c r="H10" s="213"/>
      <c r="I10" s="213"/>
      <c r="J10" s="213"/>
      <c r="L10" s="183"/>
      <c r="M10" s="184"/>
      <c r="N10" s="184"/>
      <c r="O10" s="184"/>
    </row>
    <row r="11" spans="1:24" ht="15" customHeight="1" x14ac:dyDescent="0.25">
      <c r="A11" s="226"/>
      <c r="B11" s="227"/>
      <c r="C11" s="227"/>
      <c r="D11" s="228"/>
      <c r="E11" s="26" t="str">
        <f>IFERROR(FIND("(",$A$33,K8)+1,"")</f>
        <v/>
      </c>
      <c r="F11" s="213"/>
      <c r="G11" s="213"/>
      <c r="H11" s="213"/>
      <c r="I11" s="213"/>
      <c r="J11" s="213"/>
      <c r="L11" s="183"/>
      <c r="M11" s="184"/>
      <c r="N11" s="184"/>
      <c r="O11" s="184"/>
    </row>
    <row r="12" spans="1:24" ht="15" customHeight="1" thickBot="1" x14ac:dyDescent="0.3">
      <c r="A12" s="229"/>
      <c r="B12" s="230"/>
      <c r="C12" s="230"/>
      <c r="D12" s="231"/>
      <c r="E12" s="26" t="str">
        <f>IFERROR(FIND("(",$A$33,E11)+1,"")</f>
        <v/>
      </c>
      <c r="F12" s="213"/>
      <c r="G12" s="213"/>
      <c r="H12" s="213"/>
      <c r="I12" s="213"/>
      <c r="J12" s="213"/>
      <c r="L12" s="183"/>
      <c r="M12" s="184"/>
      <c r="N12" s="184"/>
      <c r="O12" s="184"/>
    </row>
    <row r="13" spans="1:24" ht="15" customHeight="1" x14ac:dyDescent="0.25">
      <c r="A13" s="200" t="s">
        <v>5</v>
      </c>
      <c r="B13" s="201"/>
      <c r="C13" s="204" t="s">
        <v>6</v>
      </c>
      <c r="D13" s="198" t="s">
        <v>7</v>
      </c>
      <c r="E13" s="36"/>
      <c r="F13" s="213"/>
      <c r="G13" s="213"/>
      <c r="H13" s="213"/>
      <c r="I13" s="213"/>
      <c r="J13" s="213"/>
      <c r="K13" s="26" t="str">
        <f>IFERROR(FIND("(",VLOOKUP(16-(C20&gt;D45)*8-(C21&gt;D46)*4-(C22&gt;D47)*2-(C23&gt;D48),Szenarien!A3:I19,9,FALSE),K8)+1,"")</f>
        <v/>
      </c>
      <c r="L13" s="183" t="str">
        <f>IFERROR(VLOOKUP(INT(MID($K$2,K13,FIND(")",$K$2,K13)-K13)),Handlungsempfehlungen!$A$2:$C$17,2,FALSE),"")</f>
        <v/>
      </c>
      <c r="M13" s="184" t="str">
        <f>IFERROR(VLOOKUP(INT(MID($K$2,K13,FIND(")",$K$2,K13)-K13)),Handlungsempfehlungen!$A$2:$C$17,3,FALSE),"")</f>
        <v/>
      </c>
      <c r="N13" s="184"/>
      <c r="O13" s="184"/>
    </row>
    <row r="14" spans="1:24" ht="15" customHeight="1" thickBot="1" x14ac:dyDescent="0.3">
      <c r="A14" s="200"/>
      <c r="B14" s="201"/>
      <c r="C14" s="205"/>
      <c r="D14" s="198"/>
      <c r="E14" s="27"/>
      <c r="F14" s="213"/>
      <c r="G14" s="213"/>
      <c r="H14" s="213"/>
      <c r="I14" s="213"/>
      <c r="J14" s="213"/>
      <c r="L14" s="183"/>
      <c r="M14" s="184"/>
      <c r="N14" s="184"/>
      <c r="O14" s="184"/>
    </row>
    <row r="15" spans="1:24" ht="15" customHeight="1" x14ac:dyDescent="0.25">
      <c r="A15" s="200"/>
      <c r="B15" s="201"/>
      <c r="C15" s="205"/>
      <c r="D15" s="198"/>
      <c r="E15" s="27"/>
      <c r="F15" s="214" t="s">
        <v>12</v>
      </c>
      <c r="G15" s="215"/>
      <c r="H15" s="215"/>
      <c r="I15" s="215"/>
      <c r="J15" s="216"/>
      <c r="L15" s="183"/>
      <c r="M15" s="184"/>
      <c r="N15" s="184"/>
      <c r="O15" s="184"/>
    </row>
    <row r="16" spans="1:24" ht="15" customHeight="1" x14ac:dyDescent="0.25">
      <c r="A16" s="200"/>
      <c r="B16" s="201"/>
      <c r="C16" s="205"/>
      <c r="D16" s="198"/>
      <c r="E16" s="27"/>
      <c r="F16" s="213" t="str">
        <f>_xlfn.CONCAT("Offene Fragen:",CHAR(10),_xlfn.TEXTJOIN(CHAR(10),TRUE,Bewertungsbogen!P27:P33),CHAR(10),CHAR(10),"Hindernisse:",CHAR(10),_xlfn.TEXTJOIN(CHAR(10),TRUE,Bewertungsbogen!O27:O33))</f>
        <v xml:space="preserve">Offene Fragen:
Ist das Entwicklerteam bereit, die Verwertung der Hardware zu unterstützen?
Ist das Entwicklerteam kompromissbereit und zeigt es eine realistische Erwartung bzgl. der angestrebten Verwertung?
Sind alle Fragen der Autorenschaft geklärt?
Ist die Autorenschaft gut dokumentiert?
Verfügt das Entwicklerteam über genügend Ressourcen für die Verwertung?
Verfügt das Entwicklerteam über die notwendigen Kompetenzen?
Ist das Entwicklerteam gut mit der Community und/oder Industrie vernetzt?
Hindernisse:
</v>
      </c>
      <c r="G16" s="213"/>
      <c r="H16" s="213"/>
      <c r="I16" s="213"/>
      <c r="J16" s="213"/>
      <c r="L16" s="183"/>
      <c r="M16" s="184"/>
      <c r="N16" s="184"/>
      <c r="O16" s="184"/>
      <c r="T16" s="26"/>
      <c r="U16" s="26"/>
      <c r="V16" s="26"/>
      <c r="W16" s="26"/>
      <c r="X16" s="26"/>
    </row>
    <row r="17" spans="1:15" ht="15" customHeight="1" x14ac:dyDescent="0.25">
      <c r="A17" s="200"/>
      <c r="B17" s="201"/>
      <c r="C17" s="205"/>
      <c r="D17" s="198"/>
      <c r="E17" s="27"/>
      <c r="F17" s="213"/>
      <c r="G17" s="213"/>
      <c r="H17" s="213"/>
      <c r="I17" s="213"/>
      <c r="J17" s="213"/>
      <c r="L17" s="183"/>
      <c r="M17" s="184"/>
      <c r="N17" s="184"/>
      <c r="O17" s="184"/>
    </row>
    <row r="18" spans="1:15" ht="15" customHeight="1" x14ac:dyDescent="0.25">
      <c r="A18" s="200"/>
      <c r="B18" s="201"/>
      <c r="C18" s="205"/>
      <c r="D18" s="198"/>
      <c r="E18" s="27"/>
      <c r="F18" s="213"/>
      <c r="G18" s="213"/>
      <c r="H18" s="213"/>
      <c r="I18" s="213"/>
      <c r="J18" s="213"/>
      <c r="K18" s="26" t="str">
        <f>IFERROR(FIND("(",VLOOKUP(16-(C20&gt;D45)*8-(C21&gt;D46)*4-(C22&gt;D47)*2-(C23&gt;D48),Szenarien!A3:I19,9,FALSE),K13)+1,"")</f>
        <v/>
      </c>
      <c r="L18" s="183" t="str">
        <f>IFERROR(VLOOKUP(INT(MID($K$2,K18,FIND(")",$K$2,K18)-K18)),Handlungsempfehlungen!$A$2:$C$17,2,FALSE),"")</f>
        <v/>
      </c>
      <c r="M18" s="184" t="str">
        <f>IFERROR(VLOOKUP(INT(MID($K$2,K18,FIND(")",$K$2,K18)-K18)),Handlungsempfehlungen!$A$2:$C$17,3,FALSE),"")</f>
        <v/>
      </c>
      <c r="N18" s="184"/>
      <c r="O18" s="184"/>
    </row>
    <row r="19" spans="1:15" ht="15" customHeight="1" thickBot="1" x14ac:dyDescent="0.3">
      <c r="A19" s="202"/>
      <c r="B19" s="203"/>
      <c r="C19" s="206"/>
      <c r="D19" s="199"/>
      <c r="E19" s="27"/>
      <c r="F19" s="213"/>
      <c r="G19" s="213"/>
      <c r="H19" s="213"/>
      <c r="I19" s="213"/>
      <c r="J19" s="213"/>
      <c r="L19" s="183"/>
      <c r="M19" s="184"/>
      <c r="N19" s="184"/>
      <c r="O19" s="184"/>
    </row>
    <row r="20" spans="1:15" ht="15" customHeight="1" x14ac:dyDescent="0.25">
      <c r="A20" s="239" t="s">
        <v>10</v>
      </c>
      <c r="B20" s="240"/>
      <c r="C20" s="103">
        <f>Bewertungsbogen!F23</f>
        <v>0</v>
      </c>
      <c r="D20" s="101">
        <f>Bewertungsbogen!G23</f>
        <v>0</v>
      </c>
      <c r="E20" s="27"/>
      <c r="F20" s="213"/>
      <c r="G20" s="213"/>
      <c r="H20" s="213"/>
      <c r="I20" s="213"/>
      <c r="J20" s="213"/>
      <c r="L20" s="183"/>
      <c r="M20" s="184"/>
      <c r="N20" s="184"/>
      <c r="O20" s="184"/>
    </row>
    <row r="21" spans="1:15" ht="15" customHeight="1" x14ac:dyDescent="0.25">
      <c r="A21" s="237" t="s">
        <v>12</v>
      </c>
      <c r="B21" s="238"/>
      <c r="C21" s="103">
        <f>Bewertungsbogen!F34</f>
        <v>0</v>
      </c>
      <c r="D21" s="101">
        <f>Bewertungsbogen!G34</f>
        <v>0</v>
      </c>
      <c r="E21" s="27"/>
      <c r="F21" s="213"/>
      <c r="G21" s="213"/>
      <c r="H21" s="213"/>
      <c r="I21" s="213"/>
      <c r="J21" s="213"/>
      <c r="L21" s="183"/>
      <c r="M21" s="184"/>
      <c r="N21" s="184"/>
      <c r="O21" s="184"/>
    </row>
    <row r="22" spans="1:15" ht="15" customHeight="1" x14ac:dyDescent="0.25">
      <c r="A22" s="241" t="s">
        <v>13</v>
      </c>
      <c r="B22" s="242"/>
      <c r="C22" s="103">
        <f>Bewertungsbogen!F44</f>
        <v>0</v>
      </c>
      <c r="D22" s="101">
        <f>Bewertungsbogen!G44</f>
        <v>0</v>
      </c>
      <c r="E22" s="27"/>
      <c r="F22" s="213"/>
      <c r="G22" s="213"/>
      <c r="H22" s="213"/>
      <c r="I22" s="213"/>
      <c r="J22" s="213"/>
      <c r="L22" s="183"/>
      <c r="M22" s="184"/>
      <c r="N22" s="184"/>
      <c r="O22" s="184"/>
    </row>
    <row r="23" spans="1:15" ht="15" customHeight="1" x14ac:dyDescent="0.25">
      <c r="A23" s="190" t="s">
        <v>14</v>
      </c>
      <c r="B23" s="191"/>
      <c r="C23" s="103">
        <f>Bewertungsbogen!F54</f>
        <v>0</v>
      </c>
      <c r="D23" s="101">
        <f>Bewertungsbogen!G54</f>
        <v>0</v>
      </c>
      <c r="E23" s="27"/>
      <c r="F23" s="213"/>
      <c r="G23" s="213"/>
      <c r="H23" s="213"/>
      <c r="I23" s="213"/>
      <c r="J23" s="213"/>
      <c r="K23" s="26" t="str">
        <f>IFERROR(FIND("(",VLOOKUP(16-(C20&gt;D45)*8-(C21&gt;D46)*4-(C22&gt;D47)*2-(C23&gt;D48),Szenarien!A3:I19,9,FALSE),K18)+1,"")</f>
        <v/>
      </c>
      <c r="L23" s="183" t="str">
        <f>IFERROR(VLOOKUP(INT(MID($K$2,K23,FIND(")",$K$2,K23)-K23)),Handlungsempfehlungen!$A$2:$C$17,2,FALSE),"")</f>
        <v/>
      </c>
      <c r="M23" s="184" t="str">
        <f>IFERROR(VLOOKUP(INT(MID($K$2,K23,FIND(")",$K$2,K23)-K23)),Handlungsempfehlungen!$A$2:$C$17,3,FALSE),"")</f>
        <v/>
      </c>
      <c r="N23" s="184"/>
      <c r="O23" s="184"/>
    </row>
    <row r="24" spans="1:15" ht="15" customHeight="1" thickBot="1" x14ac:dyDescent="0.3">
      <c r="A24" s="208" t="s">
        <v>15</v>
      </c>
      <c r="B24" s="209"/>
      <c r="C24" s="104">
        <f>Bewertungsbogen!I9</f>
        <v>0</v>
      </c>
      <c r="D24" s="102">
        <f>Bewertungsbogen!J5</f>
        <v>0</v>
      </c>
      <c r="E24" s="27"/>
      <c r="F24" s="213"/>
      <c r="G24" s="213"/>
      <c r="H24" s="213"/>
      <c r="I24" s="213"/>
      <c r="J24" s="213"/>
      <c r="L24" s="183"/>
      <c r="M24" s="184"/>
      <c r="N24" s="184"/>
      <c r="O24" s="184"/>
    </row>
    <row r="25" spans="1:15" ht="15" customHeight="1" x14ac:dyDescent="0.25">
      <c r="A25" s="91"/>
      <c r="B25" s="91"/>
      <c r="C25" s="91"/>
      <c r="D25" s="92"/>
      <c r="E25" s="27"/>
      <c r="F25" s="213"/>
      <c r="G25" s="213"/>
      <c r="H25" s="213"/>
      <c r="I25" s="213"/>
      <c r="J25" s="213"/>
      <c r="L25" s="183"/>
      <c r="M25" s="184"/>
      <c r="N25" s="184"/>
      <c r="O25" s="184"/>
    </row>
    <row r="26" spans="1:15" ht="15" customHeight="1" x14ac:dyDescent="0.25">
      <c r="A26" s="235" t="str">
        <f>VLOOKUP(16-(C20&gt;D45)*8-(C21&gt;D46)*4-(C22&gt;D47)*2-(C23&gt;D48),Szenarien!A3:H19,2,FALSE)</f>
        <v>Kritische Zone</v>
      </c>
      <c r="B26" s="235"/>
      <c r="C26" s="235"/>
      <c r="D26" s="236" t="str">
        <f xml:space="preserve"> IF((D20&gt;=C45)*(D21&gt;=C46)*(D22&gt;=C47)*(D23&gt;=C48)=0,"geringe Aussagekraft","")</f>
        <v>geringe Aussagekraft</v>
      </c>
      <c r="E26" s="44"/>
      <c r="F26" s="213"/>
      <c r="G26" s="213"/>
      <c r="H26" s="213"/>
      <c r="I26" s="213"/>
      <c r="J26" s="213"/>
      <c r="L26" s="183"/>
      <c r="M26" s="184"/>
      <c r="N26" s="184"/>
      <c r="O26" s="184"/>
    </row>
    <row r="27" spans="1:15" ht="15" customHeight="1" thickBot="1" x14ac:dyDescent="0.3">
      <c r="A27" s="235"/>
      <c r="B27" s="235"/>
      <c r="C27" s="235"/>
      <c r="D27" s="236"/>
      <c r="E27" s="2"/>
      <c r="F27" s="213"/>
      <c r="G27" s="213"/>
      <c r="H27" s="213"/>
      <c r="I27" s="213"/>
      <c r="J27" s="213"/>
      <c r="L27" s="183"/>
      <c r="M27" s="184"/>
      <c r="N27" s="184"/>
      <c r="O27" s="184"/>
    </row>
    <row r="28" spans="1:15" ht="15" customHeight="1" x14ac:dyDescent="0.25">
      <c r="A28" s="235"/>
      <c r="B28" s="235"/>
      <c r="C28" s="235"/>
      <c r="D28" s="236"/>
      <c r="E28" s="2"/>
      <c r="F28" s="217" t="s">
        <v>13</v>
      </c>
      <c r="G28" s="218"/>
      <c r="H28" s="218"/>
      <c r="I28" s="218"/>
      <c r="J28" s="219"/>
      <c r="K28" s="26" t="str">
        <f>IFERROR(FIND("(",VLOOKUP(16-(C20&gt;D45)*8-(C21&gt;D46)*4-(C22&gt;D47)*2-(C23&gt;D48),Szenarien!A3:I19,9,FALSE),K23)+1,"")</f>
        <v/>
      </c>
      <c r="L28" s="183" t="str">
        <f>IFERROR(VLOOKUP(INT(MID($K$2,K28,FIND(")",$K$2,K28)-K28)),Handlungsempfehlungen!$A$2:$C$17,2,FALSE),"")</f>
        <v/>
      </c>
      <c r="M28" s="184" t="str">
        <f>IFERROR(VLOOKUP(INT(MID($K$2,K28,FIND(")",$K$2,K28)-K28)),Handlungsempfehlungen!$A$2:$C$17,3,FALSE),"")</f>
        <v/>
      </c>
      <c r="N28" s="184"/>
      <c r="O28" s="184"/>
    </row>
    <row r="29" spans="1:15" ht="15" customHeight="1" x14ac:dyDescent="0.25">
      <c r="A29" s="235"/>
      <c r="B29" s="235"/>
      <c r="C29" s="235"/>
      <c r="D29" s="236"/>
      <c r="E29" s="2"/>
      <c r="F29" s="213" t="str">
        <f>_xlfn.CONCAT("Offene Fragen:",CHAR(10),_xlfn.TEXTJOIN(CHAR(10),TRUE,Bewertungsbogen!P38:P43),CHAR(10),CHAR(10),"Hindernisse:",CHAR(10),_xlfn.TEXTJOIN(CHAR(10),TRUE,Bewertungsbogen!O38:O43))</f>
        <v xml:space="preserve">Offene Fragen:
Passt die Verwertung der Hardware zur strategischen Ausrichtung der Einrichtung?
Passen die Vorstellungen von Team und Einrichtung bzgl. der Hardwareverwertung zusammen?
Liegen alle Nutzungs- und Verwertungsrechte bei der Einrichtung?
Ist eine Verwertung der Hardware trotz bestehender Rahmenverträge (Auftragsforschung, FuE-Projekt, Kooperationsverträge, Verpflichtungen aufgrund staatlicher Unterstützung) möglich?
Kann die Einrichtung Ressourcen für Betrieb, Wartung und Support der Hardware zur Verfügung zu stellen?
Ist ein Abbruch der Entwicklung und der Verwertung für die Einrichtung tragbar?
Hindernisse:
</v>
      </c>
      <c r="G29" s="213"/>
      <c r="H29" s="213"/>
      <c r="I29" s="213"/>
      <c r="J29" s="213"/>
      <c r="L29" s="183"/>
      <c r="M29" s="184"/>
      <c r="N29" s="184"/>
      <c r="O29" s="184"/>
    </row>
    <row r="30" spans="1:15" ht="15" customHeight="1" x14ac:dyDescent="0.25">
      <c r="A30" s="235"/>
      <c r="B30" s="235"/>
      <c r="C30" s="235"/>
      <c r="D30" s="236"/>
      <c r="E30" s="2"/>
      <c r="F30" s="213"/>
      <c r="G30" s="213"/>
      <c r="H30" s="213"/>
      <c r="I30" s="213"/>
      <c r="J30" s="213"/>
      <c r="L30" s="183"/>
      <c r="M30" s="184"/>
      <c r="N30" s="184"/>
      <c r="O30" s="184"/>
    </row>
    <row r="31" spans="1:15" ht="15" customHeight="1" x14ac:dyDescent="0.25">
      <c r="A31" s="235"/>
      <c r="B31" s="235"/>
      <c r="C31" s="235"/>
      <c r="D31" s="236"/>
      <c r="E31" s="2"/>
      <c r="F31" s="213"/>
      <c r="G31" s="213"/>
      <c r="H31" s="213"/>
      <c r="I31" s="213"/>
      <c r="J31" s="213"/>
      <c r="L31" s="183"/>
      <c r="M31" s="184"/>
      <c r="N31" s="184"/>
      <c r="O31" s="184"/>
    </row>
    <row r="32" spans="1:15" ht="15" customHeight="1" x14ac:dyDescent="0.25">
      <c r="A32" s="188" t="s">
        <v>80</v>
      </c>
      <c r="B32" s="188"/>
      <c r="C32" s="188"/>
      <c r="D32" s="189"/>
      <c r="E32" s="2"/>
      <c r="F32" s="213"/>
      <c r="G32" s="213"/>
      <c r="H32" s="213"/>
      <c r="I32" s="213"/>
      <c r="J32" s="213"/>
      <c r="L32" s="183"/>
      <c r="M32" s="184"/>
      <c r="N32" s="184"/>
      <c r="O32" s="184"/>
    </row>
    <row r="33" spans="1:17" ht="15" customHeight="1" x14ac:dyDescent="0.25">
      <c r="A33" s="174" t="str">
        <f>VLOOKUP(16-(C20&gt;D45)*8-(C21&gt;D46)*4-(C22&gt;D47)*2-(C23&gt;D48),Szenarien!A3:J19,10,FALSE)</f>
        <v>Projekt fallen lassen</v>
      </c>
      <c r="B33" s="174"/>
      <c r="C33" s="174"/>
      <c r="D33" s="185"/>
      <c r="E33" s="2"/>
      <c r="F33" s="213"/>
      <c r="G33" s="213"/>
      <c r="H33" s="213"/>
      <c r="I33" s="213"/>
      <c r="J33" s="213"/>
      <c r="K33" s="26" t="str">
        <f>IFERROR(FIND("(",VLOOKUP(16-(C20&gt;D45)*8-(C21&gt;D46)*4-(C22&gt;D47)*2-(C23&gt;D48),Szenarien!A3:I19,9,FALSE),K28)+1,"")</f>
        <v/>
      </c>
      <c r="L33" s="183" t="str">
        <f>IFERROR(VLOOKUP(INT(MID($K$2,K33,FIND(")",$K$2,K33)-K33)),Handlungsempfehlungen!$A$2:$C$17,2,FALSE),"")</f>
        <v/>
      </c>
      <c r="M33" s="184" t="str">
        <f>IFERROR(VLOOKUP(INT(MID($K$2,K33,FIND(")",$K$2,K33)-K33)),Handlungsempfehlungen!$A$2:$C$17,3,FALSE),"")</f>
        <v/>
      </c>
      <c r="N33" s="184"/>
      <c r="O33" s="184"/>
    </row>
    <row r="34" spans="1:17" ht="15" customHeight="1" x14ac:dyDescent="0.25">
      <c r="A34" s="186"/>
      <c r="B34" s="186"/>
      <c r="C34" s="186"/>
      <c r="D34" s="187"/>
      <c r="E34" s="2"/>
      <c r="F34" s="213"/>
      <c r="G34" s="213"/>
      <c r="H34" s="213"/>
      <c r="I34" s="213"/>
      <c r="J34" s="213"/>
      <c r="L34" s="183"/>
      <c r="M34" s="184"/>
      <c r="N34" s="184"/>
      <c r="O34" s="184"/>
    </row>
    <row r="35" spans="1:17" ht="15" customHeight="1" x14ac:dyDescent="0.25">
      <c r="A35" s="91"/>
      <c r="B35" s="91"/>
      <c r="C35" s="91"/>
      <c r="D35" s="93"/>
      <c r="E35" s="2"/>
      <c r="F35" s="213"/>
      <c r="G35" s="213"/>
      <c r="H35" s="213"/>
      <c r="I35" s="213"/>
      <c r="J35" s="213"/>
      <c r="L35" s="183"/>
      <c r="M35" s="184"/>
      <c r="N35" s="184"/>
      <c r="O35" s="184"/>
      <c r="P35" s="1"/>
      <c r="Q35" s="1"/>
    </row>
    <row r="36" spans="1:17" ht="15" customHeight="1" x14ac:dyDescent="0.25">
      <c r="A36" s="224" t="str">
        <f>IF(C24&gt;=D49,"Software zeigt Potential für ein Startup!","")</f>
        <v/>
      </c>
      <c r="B36" s="224"/>
      <c r="C36" s="224"/>
      <c r="D36" s="225" t="str">
        <f>IF(($D$24&lt;$C$49)*($C$24&gt;=$D$49),"geringe Aussagekraft","")</f>
        <v/>
      </c>
      <c r="E36" s="2"/>
      <c r="F36" s="213"/>
      <c r="G36" s="213"/>
      <c r="H36" s="213"/>
      <c r="I36" s="213"/>
      <c r="J36" s="213"/>
      <c r="L36" s="183"/>
      <c r="M36" s="184"/>
      <c r="N36" s="184"/>
      <c r="O36" s="184"/>
      <c r="Q36" s="1"/>
    </row>
    <row r="37" spans="1:17" ht="15" customHeight="1" x14ac:dyDescent="0.25">
      <c r="A37" s="224"/>
      <c r="B37" s="224"/>
      <c r="C37" s="224"/>
      <c r="D37" s="225"/>
      <c r="E37" s="2"/>
      <c r="F37" s="213"/>
      <c r="G37" s="213"/>
      <c r="H37" s="213"/>
      <c r="I37" s="213"/>
      <c r="J37" s="213"/>
      <c r="L37" s="183"/>
      <c r="M37" s="184"/>
      <c r="N37" s="184"/>
      <c r="O37" s="184"/>
      <c r="P37" s="1"/>
      <c r="Q37" s="1"/>
    </row>
    <row r="38" spans="1:17" ht="15" customHeight="1" x14ac:dyDescent="0.25">
      <c r="A38" s="224"/>
      <c r="B38" s="224"/>
      <c r="C38" s="224"/>
      <c r="D38" s="225"/>
      <c r="E38" s="2"/>
      <c r="F38" s="213"/>
      <c r="G38" s="213"/>
      <c r="H38" s="213"/>
      <c r="I38" s="213"/>
      <c r="J38" s="213"/>
      <c r="K38" s="26" t="str">
        <f>IFERROR(FIND("(",VLOOKUP(16-(C20&gt;D45)*8-(C21&gt;D46)*4-(C22&gt;D47)*2-(C23&gt;D48),Szenarien!A3:I19,9,FALSE),K33)+1,"")</f>
        <v/>
      </c>
      <c r="L38" s="183" t="str">
        <f>IFERROR(VLOOKUP(INT(MID($K$2,K38,FIND(")",$K$2,K38)-K38)),Handlungsempfehlungen!$A$2:$C$17,2,FALSE),"")</f>
        <v/>
      </c>
      <c r="M38" s="184" t="str">
        <f>IFERROR(VLOOKUP(INT(MID($K$2,K38,FIND(")",$K$2,K38)-K38)),Handlungsempfehlungen!$A$2:$C$17,3,FALSE),"")</f>
        <v/>
      </c>
      <c r="N38" s="184"/>
      <c r="O38" s="184"/>
      <c r="Q38" s="1"/>
    </row>
    <row r="39" spans="1:17" ht="15" customHeight="1" x14ac:dyDescent="0.25">
      <c r="A39" s="224"/>
      <c r="B39" s="224"/>
      <c r="C39" s="224"/>
      <c r="D39" s="225"/>
      <c r="E39" s="44"/>
      <c r="F39" s="213"/>
      <c r="G39" s="213"/>
      <c r="H39" s="213"/>
      <c r="I39" s="213"/>
      <c r="J39" s="213"/>
      <c r="L39" s="183"/>
      <c r="M39" s="184"/>
      <c r="N39" s="184"/>
      <c r="O39" s="184"/>
      <c r="P39" s="1"/>
      <c r="Q39" s="1"/>
    </row>
    <row r="40" spans="1:17" ht="15" customHeight="1" thickBot="1" x14ac:dyDescent="0.3">
      <c r="A40" s="224"/>
      <c r="B40" s="224"/>
      <c r="C40" s="224"/>
      <c r="D40" s="225"/>
      <c r="E40" s="45"/>
      <c r="F40" s="213"/>
      <c r="G40" s="213"/>
      <c r="H40" s="213"/>
      <c r="I40" s="213"/>
      <c r="J40" s="213"/>
      <c r="L40" s="183"/>
      <c r="M40" s="184"/>
      <c r="N40" s="184"/>
      <c r="O40" s="184"/>
      <c r="Q40" s="1"/>
    </row>
    <row r="41" spans="1:17" ht="15" customHeight="1" x14ac:dyDescent="0.25">
      <c r="A41" s="45"/>
      <c r="B41" s="45"/>
      <c r="C41" s="45"/>
      <c r="D41" s="48"/>
      <c r="E41" s="45"/>
      <c r="F41" s="220" t="s">
        <v>14</v>
      </c>
      <c r="G41" s="221"/>
      <c r="H41" s="221"/>
      <c r="I41" s="221"/>
      <c r="J41" s="222"/>
      <c r="L41" s="183"/>
      <c r="M41" s="184"/>
      <c r="N41" s="184"/>
      <c r="O41" s="184"/>
      <c r="P41" s="1"/>
      <c r="Q41" s="1"/>
    </row>
    <row r="42" spans="1:17" ht="15" customHeight="1" x14ac:dyDescent="0.25">
      <c r="C42">
        <f>(D20&gt;C45)*(D21&gt;C46)*(D22&gt;C47)*(D23&gt;C48)</f>
        <v>0</v>
      </c>
      <c r="D42" s="49"/>
      <c r="E42" s="45"/>
      <c r="F42" s="213" t="str">
        <f>_xlfn.CONCAT("Offene Fragen:",CHAR(10),_xlfn.TEXTJOIN(CHAR(10),TRUE,Bewertungsbogen!P48:P53),CHAR(10),CHAR(10),"Hindernisse:",CHAR(10),_xlfn.TEXTJOIN(CHAR(10),TRUE,Bewertungsbogen!O48:O53))</f>
        <v xml:space="preserve">Offene Fragen:
Gibt es für die Hardware einen belastbaren und ggfs. einen quantifizierbaren Bedarf oder wird sich dieser in absehbarer Zukunft entwickeln?
Bietet die Hardware messbare Vorteile für den Kunden?
Handelt es sich bei der Hardware um eine Kerntechnologie, auf die andere Produkte aufgebaut werden können?
Sind keine vergleichbaren Produkte auf dem Markt?
Ist die Hardware durch Aufwand nicht replizierbar?
Kann mit der Verwertung der Hardware Gewinn erzielt werden?
Hindernisse:
</v>
      </c>
      <c r="G42" s="213"/>
      <c r="H42" s="213"/>
      <c r="I42" s="213"/>
      <c r="J42" s="213"/>
      <c r="L42" s="183"/>
      <c r="M42" s="184"/>
      <c r="N42" s="184"/>
      <c r="O42" s="184"/>
      <c r="Q42" s="1"/>
    </row>
    <row r="43" spans="1:17" ht="15" customHeight="1" x14ac:dyDescent="0.25">
      <c r="D43" s="49"/>
      <c r="E43" s="45"/>
      <c r="F43" s="213"/>
      <c r="G43" s="213"/>
      <c r="H43" s="213"/>
      <c r="I43" s="213"/>
      <c r="J43" s="213"/>
      <c r="K43" s="26" t="str">
        <f>IFERROR(FIND("(",VLOOKUP(16-(C20&gt;D45)*8-(C21&gt;D46)*4-(C22&gt;D47)*2-(C23&gt;D48),Szenarien!A3:I19,9,FALSE),K38)+1,"")</f>
        <v/>
      </c>
      <c r="L43" s="183" t="str">
        <f>IFERROR(VLOOKUP(INT(MID($K$2,K43,FIND(")",$K$2,K43)-K43)),Handlungsempfehlungen!$A$2:$C$17,2,FALSE),"")</f>
        <v/>
      </c>
      <c r="M43" s="184" t="str">
        <f>IFERROR(VLOOKUP(INT(MID($K$2,K43,FIND(")",$K$2,K43)-K43)),Handlungsempfehlungen!$A$2:$C$17,3,FALSE),"")</f>
        <v/>
      </c>
      <c r="N43" s="184"/>
      <c r="O43" s="184"/>
      <c r="P43" s="1"/>
      <c r="Q43" s="1"/>
    </row>
    <row r="44" spans="1:17" ht="15" customHeight="1" x14ac:dyDescent="0.25">
      <c r="C44" t="s">
        <v>81</v>
      </c>
      <c r="D44" s="49" t="s">
        <v>82</v>
      </c>
      <c r="E44" s="45"/>
      <c r="F44" s="213"/>
      <c r="G44" s="213"/>
      <c r="H44" s="213"/>
      <c r="I44" s="213"/>
      <c r="J44" s="213"/>
      <c r="L44" s="183"/>
      <c r="M44" s="184"/>
      <c r="N44" s="184"/>
      <c r="O44" s="184"/>
      <c r="Q44" s="1"/>
    </row>
    <row r="45" spans="1:17" ht="15" customHeight="1" x14ac:dyDescent="0.25">
      <c r="C45" s="37">
        <f>Bewertungsbogen!G5</f>
        <v>0.7</v>
      </c>
      <c r="D45" s="50">
        <f>Bewertungsbogen!F5</f>
        <v>0.6</v>
      </c>
      <c r="E45" s="45"/>
      <c r="F45" s="213"/>
      <c r="G45" s="213"/>
      <c r="H45" s="213"/>
      <c r="I45" s="213"/>
      <c r="J45" s="213"/>
      <c r="L45" s="183"/>
      <c r="M45" s="184"/>
      <c r="N45" s="184"/>
      <c r="O45" s="184"/>
      <c r="P45" s="1"/>
      <c r="Q45" s="1"/>
    </row>
    <row r="46" spans="1:17" ht="15" customHeight="1" x14ac:dyDescent="0.25">
      <c r="C46" s="37">
        <f>Bewertungsbogen!G6</f>
        <v>0.7</v>
      </c>
      <c r="D46" s="50">
        <f>Bewertungsbogen!F6</f>
        <v>0.6</v>
      </c>
      <c r="E46" s="45"/>
      <c r="F46" s="213"/>
      <c r="G46" s="213"/>
      <c r="H46" s="213"/>
      <c r="I46" s="213"/>
      <c r="J46" s="213"/>
      <c r="L46" s="183"/>
      <c r="M46" s="184"/>
      <c r="N46" s="184"/>
      <c r="O46" s="184"/>
      <c r="Q46" s="1"/>
    </row>
    <row r="47" spans="1:17" ht="15" customHeight="1" x14ac:dyDescent="0.25">
      <c r="C47" s="37">
        <f>Bewertungsbogen!G7</f>
        <v>0.7</v>
      </c>
      <c r="D47" s="50">
        <f>Bewertungsbogen!F7</f>
        <v>0.6</v>
      </c>
      <c r="E47" s="45"/>
      <c r="F47" s="213"/>
      <c r="G47" s="213"/>
      <c r="H47" s="213"/>
      <c r="I47" s="213"/>
      <c r="J47" s="213"/>
      <c r="L47" s="183"/>
      <c r="M47" s="184"/>
      <c r="N47" s="184"/>
      <c r="O47" s="184"/>
      <c r="P47" s="1"/>
      <c r="Q47" s="1"/>
    </row>
    <row r="48" spans="1:17" ht="15" customHeight="1" x14ac:dyDescent="0.25">
      <c r="C48" s="37">
        <f>Bewertungsbogen!G8</f>
        <v>0.7</v>
      </c>
      <c r="D48" s="50">
        <f>Bewertungsbogen!F8</f>
        <v>0.6</v>
      </c>
      <c r="E48" s="45"/>
      <c r="F48" s="213"/>
      <c r="G48" s="213"/>
      <c r="H48" s="213"/>
      <c r="I48" s="213"/>
      <c r="J48" s="213"/>
      <c r="K48" s="26" t="str">
        <f>IFERROR(FIND("(",VLOOKUP(16-(C20&gt;D45)*8-(C21&gt;D46)*4-(C22&gt;D47)*2-(C23&gt;D48),Szenarien!A3:I19,9,FALSE),K43)+1,"")</f>
        <v/>
      </c>
      <c r="L48" s="183" t="str">
        <f>IFERROR(VLOOKUP(INT(MID($K$2,K48,FIND(")",$K$2,K48)-K48)),Handlungsempfehlungen!$A$2:$C$17,2,FALSE),"")</f>
        <v/>
      </c>
      <c r="M48" s="184" t="str">
        <f>IFERROR(VLOOKUP(INT(MID($K$2,K48,FIND(")",$K$2,K48)-K48)),Handlungsempfehlungen!$A$2:$C$17,3,FALSE),"")</f>
        <v/>
      </c>
      <c r="N48" s="184"/>
      <c r="O48" s="184"/>
      <c r="Q48" s="1"/>
    </row>
    <row r="49" spans="1:17" ht="15" customHeight="1" x14ac:dyDescent="0.25">
      <c r="C49" s="37">
        <f>Bewertungsbogen!G9</f>
        <v>0.7</v>
      </c>
      <c r="D49" s="50">
        <f>Bewertungsbogen!F9</f>
        <v>0.6</v>
      </c>
      <c r="E49" s="45"/>
      <c r="F49" s="213"/>
      <c r="G49" s="213"/>
      <c r="H49" s="213"/>
      <c r="I49" s="213"/>
      <c r="J49" s="213"/>
      <c r="L49" s="183"/>
      <c r="M49" s="184"/>
      <c r="N49" s="184"/>
      <c r="O49" s="184"/>
      <c r="P49" s="1"/>
      <c r="Q49" s="1"/>
    </row>
    <row r="50" spans="1:17" ht="15" customHeight="1" x14ac:dyDescent="0.25">
      <c r="A50" s="45"/>
      <c r="B50" s="45"/>
      <c r="C50" s="45"/>
      <c r="D50" s="48"/>
      <c r="E50" s="45"/>
      <c r="F50" s="213"/>
      <c r="G50" s="213"/>
      <c r="H50" s="213"/>
      <c r="I50" s="213"/>
      <c r="J50" s="213"/>
      <c r="L50" s="183"/>
      <c r="M50" s="184"/>
      <c r="N50" s="184"/>
      <c r="O50" s="184"/>
      <c r="Q50" s="1"/>
    </row>
    <row r="51" spans="1:17" ht="15" customHeight="1" x14ac:dyDescent="0.25">
      <c r="A51" s="45"/>
      <c r="B51" s="45"/>
      <c r="C51" s="45"/>
      <c r="D51" s="48"/>
      <c r="E51" s="45"/>
      <c r="F51" s="213"/>
      <c r="G51" s="213"/>
      <c r="H51" s="213"/>
      <c r="I51" s="213"/>
      <c r="J51" s="213"/>
      <c r="L51" s="183"/>
      <c r="M51" s="184"/>
      <c r="N51" s="184"/>
      <c r="O51" s="184"/>
    </row>
    <row r="52" spans="1:17" ht="15" customHeight="1" x14ac:dyDescent="0.25">
      <c r="A52" s="45"/>
      <c r="B52" s="45"/>
      <c r="C52" s="45"/>
      <c r="D52" s="48"/>
      <c r="E52" s="45"/>
      <c r="F52" s="213"/>
      <c r="G52" s="213"/>
      <c r="H52" s="213"/>
      <c r="I52" s="213"/>
      <c r="J52" s="213"/>
      <c r="L52" s="183"/>
      <c r="M52" s="184"/>
      <c r="N52" s="184"/>
      <c r="O52" s="184"/>
    </row>
    <row r="53" spans="1:17" ht="15" customHeight="1" x14ac:dyDescent="0.25">
      <c r="D53" s="49"/>
      <c r="F53" s="213"/>
      <c r="G53" s="213"/>
      <c r="H53" s="213"/>
      <c r="I53" s="213"/>
      <c r="J53" s="213"/>
    </row>
  </sheetData>
  <sheetProtection sheet="1" objects="1" scenarios="1"/>
  <mergeCells count="48">
    <mergeCell ref="A36:C40"/>
    <mergeCell ref="D36:D40"/>
    <mergeCell ref="A3:D12"/>
    <mergeCell ref="A2:D2"/>
    <mergeCell ref="A26:C31"/>
    <mergeCell ref="D26:D31"/>
    <mergeCell ref="A21:B21"/>
    <mergeCell ref="A20:B20"/>
    <mergeCell ref="A22:B22"/>
    <mergeCell ref="L48:L52"/>
    <mergeCell ref="L38:L42"/>
    <mergeCell ref="L18:L22"/>
    <mergeCell ref="F2:J2"/>
    <mergeCell ref="F3:J14"/>
    <mergeCell ref="F15:J15"/>
    <mergeCell ref="F16:J27"/>
    <mergeCell ref="F28:J28"/>
    <mergeCell ref="F41:J41"/>
    <mergeCell ref="F42:J53"/>
    <mergeCell ref="F29:J40"/>
    <mergeCell ref="L3:O7"/>
    <mergeCell ref="M48:O52"/>
    <mergeCell ref="M38:O42"/>
    <mergeCell ref="L43:L47"/>
    <mergeCell ref="M43:O47"/>
    <mergeCell ref="B1:D1"/>
    <mergeCell ref="E1:F1"/>
    <mergeCell ref="G1:J1"/>
    <mergeCell ref="L33:L37"/>
    <mergeCell ref="M33:O37"/>
    <mergeCell ref="K1:L1"/>
    <mergeCell ref="L8:L12"/>
    <mergeCell ref="M8:O12"/>
    <mergeCell ref="L13:L17"/>
    <mergeCell ref="M13:O17"/>
    <mergeCell ref="D13:D19"/>
    <mergeCell ref="A13:B19"/>
    <mergeCell ref="C13:C19"/>
    <mergeCell ref="L2:O2"/>
    <mergeCell ref="A24:B24"/>
    <mergeCell ref="M18:O22"/>
    <mergeCell ref="L23:L27"/>
    <mergeCell ref="M23:O27"/>
    <mergeCell ref="L28:L32"/>
    <mergeCell ref="M28:O32"/>
    <mergeCell ref="A33:D34"/>
    <mergeCell ref="A32:D32"/>
    <mergeCell ref="A23:B23"/>
  </mergeCells>
  <conditionalFormatting sqref="A26:D31">
    <cfRule type="expression" dxfId="16" priority="109" stopIfTrue="1">
      <formula>($D$20&gt;=$C$45)*($D$21&gt;=$C$46)*($D$22&gt;=$C$47)*($D$23&gt;=$C$48)=0</formula>
    </cfRule>
  </conditionalFormatting>
  <conditionalFormatting sqref="A36:D40">
    <cfRule type="expression" dxfId="15" priority="108">
      <formula>($D$24&lt;$C$49)*($C$24&gt;=$D$49)</formula>
    </cfRule>
  </conditionalFormatting>
  <conditionalFormatting sqref="C20">
    <cfRule type="iconSet" priority="87">
      <iconSet iconSet="3Symbols2">
        <cfvo type="percent" val="0"/>
        <cfvo type="num" val="0"/>
        <cfvo type="num" val="$D$45"/>
      </iconSet>
    </cfRule>
  </conditionalFormatting>
  <conditionalFormatting sqref="C21">
    <cfRule type="iconSet" priority="88">
      <iconSet iconSet="3Symbols2">
        <cfvo type="percent" val="0"/>
        <cfvo type="num" val="0"/>
        <cfvo type="num" val="$D$46"/>
      </iconSet>
    </cfRule>
  </conditionalFormatting>
  <conditionalFormatting sqref="C22">
    <cfRule type="iconSet" priority="89">
      <iconSet iconSet="3Symbols2">
        <cfvo type="percent" val="0"/>
        <cfvo type="num" val="0"/>
        <cfvo type="num" val="$D$47"/>
      </iconSet>
    </cfRule>
  </conditionalFormatting>
  <conditionalFormatting sqref="C23">
    <cfRule type="iconSet" priority="90">
      <iconSet iconSet="3Symbols2">
        <cfvo type="percent" val="0"/>
        <cfvo type="num" val="0"/>
        <cfvo type="num" val="$D$48"/>
      </iconSet>
    </cfRule>
  </conditionalFormatting>
  <conditionalFormatting sqref="C24">
    <cfRule type="iconSet" priority="91">
      <iconSet iconSet="3Symbols2">
        <cfvo type="percent" val="0"/>
        <cfvo type="num" val="0"/>
        <cfvo type="num" val="$D$49"/>
      </iconSet>
    </cfRule>
  </conditionalFormatting>
  <conditionalFormatting sqref="D20">
    <cfRule type="iconSet" priority="92">
      <iconSet iconSet="3Symbols2">
        <cfvo type="percent" val="0"/>
        <cfvo type="num" val="0"/>
        <cfvo type="num" val="$C$45"/>
      </iconSet>
    </cfRule>
  </conditionalFormatting>
  <conditionalFormatting sqref="D21">
    <cfRule type="iconSet" priority="93">
      <iconSet iconSet="3Symbols2">
        <cfvo type="percent" val="0"/>
        <cfvo type="num" val="0"/>
        <cfvo type="num" val="$C$46"/>
      </iconSet>
    </cfRule>
  </conditionalFormatting>
  <conditionalFormatting sqref="D22">
    <cfRule type="iconSet" priority="94">
      <iconSet iconSet="3Symbols2">
        <cfvo type="percent" val="0"/>
        <cfvo type="num" val="0"/>
        <cfvo type="num" val="$C$47"/>
      </iconSet>
    </cfRule>
  </conditionalFormatting>
  <conditionalFormatting sqref="D23">
    <cfRule type="iconSet" priority="95">
      <iconSet iconSet="3Symbols2">
        <cfvo type="percent" val="0"/>
        <cfvo type="num" val="0"/>
        <cfvo type="num" val="$C$48"/>
      </iconSet>
    </cfRule>
  </conditionalFormatting>
  <conditionalFormatting sqref="D24">
    <cfRule type="iconSet" priority="96">
      <iconSet iconSet="3Symbols2">
        <cfvo type="percent" val="0"/>
        <cfvo type="num" val="0"/>
        <cfvo type="num" val="$C$49"/>
      </iconSet>
    </cfRule>
  </conditionalFormatting>
  <pageMargins left="0.7" right="0.7" top="0.75" bottom="0.56623931623931623"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3E5D6-DA5B-40B6-AECA-B8912B57BFC6}">
  <dimension ref="A1:N58"/>
  <sheetViews>
    <sheetView zoomScale="80" zoomScaleNormal="80" workbookViewId="0">
      <pane ySplit="1" topLeftCell="A53" activePane="bottomLeft" state="frozen"/>
      <selection pane="bottomLeft" activeCell="A50" sqref="A50"/>
    </sheetView>
  </sheetViews>
  <sheetFormatPr baseColWidth="10" defaultColWidth="21.28515625" defaultRowHeight="15" x14ac:dyDescent="0.25"/>
  <cols>
    <col min="1" max="1" width="7.7109375" style="28" bestFit="1" customWidth="1"/>
    <col min="2" max="2" width="12" style="28" bestFit="1" customWidth="1"/>
    <col min="3" max="4" width="12.5703125" style="28" customWidth="1"/>
    <col min="5" max="5" width="19.7109375" style="28" customWidth="1"/>
    <col min="6" max="6" width="14.85546875" style="28" customWidth="1"/>
    <col min="7" max="11" width="29" style="28" customWidth="1"/>
    <col min="12" max="12" width="78" style="28" customWidth="1"/>
    <col min="13" max="13" width="14.5703125" style="32" customWidth="1"/>
    <col min="14" max="14" width="16.42578125" style="34" customWidth="1"/>
    <col min="15" max="16384" width="21.28515625" style="28"/>
  </cols>
  <sheetData>
    <row r="1" spans="1:14" ht="30" x14ac:dyDescent="0.25">
      <c r="A1" s="28" t="s">
        <v>83</v>
      </c>
      <c r="B1" s="28" t="s">
        <v>84</v>
      </c>
      <c r="C1" s="28" t="s">
        <v>85</v>
      </c>
      <c r="D1" s="28" t="s">
        <v>86</v>
      </c>
      <c r="E1" s="28" t="s">
        <v>87</v>
      </c>
      <c r="F1" s="28" t="s">
        <v>88</v>
      </c>
      <c r="G1" s="28" t="s">
        <v>22</v>
      </c>
      <c r="H1" s="28" t="s">
        <v>89</v>
      </c>
      <c r="I1" s="28" t="s">
        <v>23</v>
      </c>
      <c r="J1" s="28" t="s">
        <v>24</v>
      </c>
      <c r="K1" s="28" t="s">
        <v>25</v>
      </c>
      <c r="L1" s="28" t="s">
        <v>37</v>
      </c>
      <c r="M1" s="32" t="s">
        <v>90</v>
      </c>
      <c r="N1" s="34" t="s">
        <v>91</v>
      </c>
    </row>
    <row r="2" spans="1:14" customFormat="1" ht="114.75" customHeight="1" x14ac:dyDescent="0.25">
      <c r="A2" s="35" t="str">
        <f>_xlfn.CONCAT(LEFT(Table1[[#This Row],[Dimension]],1),TEXT(Table1[[#This Row],[Cluster]],"00"),Table1[[#This Row],[Fragecode]])</f>
        <v>E01a</v>
      </c>
      <c r="B2" s="41" t="s">
        <v>13</v>
      </c>
      <c r="C2" s="33">
        <v>1</v>
      </c>
      <c r="D2" s="33" t="s">
        <v>92</v>
      </c>
      <c r="E2" s="31" t="s">
        <v>93</v>
      </c>
      <c r="F2" s="31" t="s">
        <v>94</v>
      </c>
      <c r="G2" s="31" t="s">
        <v>95</v>
      </c>
      <c r="H2" s="31" t="s">
        <v>96</v>
      </c>
      <c r="I2" s="31" t="s">
        <v>97</v>
      </c>
      <c r="J2" s="31" t="s">
        <v>98</v>
      </c>
      <c r="K2" s="31" t="s">
        <v>99</v>
      </c>
      <c r="L2" s="31" t="s">
        <v>100</v>
      </c>
      <c r="M2" s="33">
        <v>1</v>
      </c>
      <c r="N2" s="33">
        <v>0.1</v>
      </c>
    </row>
    <row r="3" spans="1:14" customFormat="1" ht="97.5" customHeight="1" x14ac:dyDescent="0.25">
      <c r="A3" s="35" t="str">
        <f>_xlfn.CONCAT(LEFT(Table1[[#This Row],[Dimension]],1),TEXT(Table1[[#This Row],[Cluster]],"00"),Table1[[#This Row],[Fragecode]])</f>
        <v>E01b</v>
      </c>
      <c r="B3" s="41" t="s">
        <v>13</v>
      </c>
      <c r="C3" s="33">
        <v>1</v>
      </c>
      <c r="D3" s="33" t="s">
        <v>101</v>
      </c>
      <c r="E3" s="31" t="s">
        <v>93</v>
      </c>
      <c r="F3" s="31" t="s">
        <v>94</v>
      </c>
      <c r="G3" s="31" t="s">
        <v>102</v>
      </c>
      <c r="H3" s="31" t="s">
        <v>103</v>
      </c>
      <c r="I3" s="31" t="s">
        <v>104</v>
      </c>
      <c r="J3" s="31" t="s">
        <v>105</v>
      </c>
      <c r="K3" s="31" t="s">
        <v>106</v>
      </c>
      <c r="L3" s="31" t="s">
        <v>107</v>
      </c>
      <c r="M3" s="33">
        <v>1</v>
      </c>
      <c r="N3" s="33">
        <v>0.8</v>
      </c>
    </row>
    <row r="4" spans="1:14" customFormat="1" ht="57.75" x14ac:dyDescent="0.25">
      <c r="A4" s="35" t="str">
        <f>_xlfn.CONCAT(LEFT(Table1[[#This Row],[Dimension]],1),TEXT(Table1[[#This Row],[Cluster]],"00"),Table1[[#This Row],[Fragecode]])</f>
        <v>E02a</v>
      </c>
      <c r="B4" s="41" t="s">
        <v>13</v>
      </c>
      <c r="C4" s="33">
        <v>2</v>
      </c>
      <c r="D4" s="33" t="s">
        <v>92</v>
      </c>
      <c r="E4" s="31" t="s">
        <v>108</v>
      </c>
      <c r="F4" s="31" t="s">
        <v>94</v>
      </c>
      <c r="G4" s="31" t="s">
        <v>109</v>
      </c>
      <c r="H4" s="31" t="s">
        <v>110</v>
      </c>
      <c r="I4" s="31" t="s">
        <v>111</v>
      </c>
      <c r="J4" s="31" t="s">
        <v>112</v>
      </c>
      <c r="K4" s="31" t="s">
        <v>113</v>
      </c>
      <c r="L4" s="31" t="s">
        <v>114</v>
      </c>
      <c r="M4" s="33">
        <v>1</v>
      </c>
      <c r="N4" s="33">
        <v>0.5</v>
      </c>
    </row>
    <row r="5" spans="1:14" customFormat="1" ht="154.5" customHeight="1" x14ac:dyDescent="0.25">
      <c r="A5" s="35" t="str">
        <f>_xlfn.CONCAT(LEFT(Table1[[#This Row],[Dimension]],1),TEXT(Table1[[#This Row],[Cluster]],"00"),Table1[[#This Row],[Fragecode]])</f>
        <v>E02b</v>
      </c>
      <c r="B5" s="41" t="s">
        <v>13</v>
      </c>
      <c r="C5" s="33">
        <v>2</v>
      </c>
      <c r="D5" s="33" t="s">
        <v>101</v>
      </c>
      <c r="E5" s="31" t="s">
        <v>108</v>
      </c>
      <c r="F5" s="31" t="s">
        <v>94</v>
      </c>
      <c r="G5" s="31" t="s">
        <v>115</v>
      </c>
      <c r="H5" s="31" t="s">
        <v>116</v>
      </c>
      <c r="I5" s="31" t="s">
        <v>117</v>
      </c>
      <c r="J5" s="31" t="s">
        <v>118</v>
      </c>
      <c r="K5" s="31" t="s">
        <v>119</v>
      </c>
      <c r="L5" s="31" t="s">
        <v>120</v>
      </c>
      <c r="M5" s="33">
        <v>1</v>
      </c>
      <c r="N5" s="33">
        <v>1</v>
      </c>
    </row>
    <row r="6" spans="1:14" customFormat="1" ht="154.5" customHeight="1" x14ac:dyDescent="0.25">
      <c r="A6" s="35" t="str">
        <f>_xlfn.CONCAT(LEFT(Table1[[#This Row],[Dimension]],1),TEXT(Table1[[#This Row],[Cluster]],"00"),Table1[[#This Row],[Fragecode]])</f>
        <v>E02c</v>
      </c>
      <c r="B6" s="41" t="s">
        <v>13</v>
      </c>
      <c r="C6" s="33">
        <v>2</v>
      </c>
      <c r="D6" s="33" t="s">
        <v>121</v>
      </c>
      <c r="E6" s="31" t="s">
        <v>108</v>
      </c>
      <c r="F6" s="31"/>
      <c r="G6" s="151" t="s">
        <v>557</v>
      </c>
      <c r="H6" s="152" t="s">
        <v>558</v>
      </c>
      <c r="I6" s="151" t="s">
        <v>122</v>
      </c>
      <c r="J6" s="151" t="s">
        <v>123</v>
      </c>
      <c r="K6" s="151" t="s">
        <v>124</v>
      </c>
      <c r="L6" s="151" t="s">
        <v>125</v>
      </c>
      <c r="M6" s="33">
        <v>1</v>
      </c>
      <c r="N6" s="33">
        <v>0.3</v>
      </c>
    </row>
    <row r="7" spans="1:14" customFormat="1" ht="90" x14ac:dyDescent="0.25">
      <c r="A7" s="35" t="str">
        <f>_xlfn.CONCAT(LEFT(Table1[[#This Row],[Dimension]],1),TEXT(Table1[[#This Row],[Cluster]],"00"),Table1[[#This Row],[Fragecode]])</f>
        <v>E03a</v>
      </c>
      <c r="B7" s="41" t="s">
        <v>13</v>
      </c>
      <c r="C7" s="33">
        <v>3</v>
      </c>
      <c r="D7" s="33" t="s">
        <v>92</v>
      </c>
      <c r="E7" s="31" t="s">
        <v>126</v>
      </c>
      <c r="F7" s="31" t="s">
        <v>94</v>
      </c>
      <c r="G7" s="31" t="s">
        <v>127</v>
      </c>
      <c r="H7" s="31" t="s">
        <v>128</v>
      </c>
      <c r="I7" s="31" t="s">
        <v>129</v>
      </c>
      <c r="J7" s="31" t="s">
        <v>130</v>
      </c>
      <c r="K7" s="31" t="s">
        <v>131</v>
      </c>
      <c r="L7" s="31" t="s">
        <v>132</v>
      </c>
      <c r="M7" s="33">
        <v>1</v>
      </c>
      <c r="N7" s="33">
        <v>0.75</v>
      </c>
    </row>
    <row r="8" spans="1:14" customFormat="1" ht="60" x14ac:dyDescent="0.25">
      <c r="A8" s="35" t="str">
        <f>_xlfn.CONCAT(LEFT(Table1[[#This Row],[Dimension]],1),TEXT(Table1[[#This Row],[Cluster]],"00"),Table1[[#This Row],[Fragecode]])</f>
        <v>E03b</v>
      </c>
      <c r="B8" s="41" t="s">
        <v>13</v>
      </c>
      <c r="C8" s="33">
        <v>3</v>
      </c>
      <c r="D8" s="33" t="s">
        <v>101</v>
      </c>
      <c r="E8" s="31" t="s">
        <v>126</v>
      </c>
      <c r="F8" s="31" t="s">
        <v>94</v>
      </c>
      <c r="G8" s="31" t="s">
        <v>133</v>
      </c>
      <c r="H8" s="31" t="s">
        <v>134</v>
      </c>
      <c r="I8" s="31" t="s">
        <v>135</v>
      </c>
      <c r="J8" s="31" t="s">
        <v>136</v>
      </c>
      <c r="K8" s="31" t="s">
        <v>137</v>
      </c>
      <c r="L8" s="31" t="s">
        <v>138</v>
      </c>
      <c r="M8" s="33">
        <v>1</v>
      </c>
      <c r="N8" s="33">
        <v>0.2</v>
      </c>
    </row>
    <row r="9" spans="1:14" customFormat="1" ht="120" x14ac:dyDescent="0.25">
      <c r="A9" s="35" t="str">
        <f>_xlfn.CONCAT(LEFT(Table1[[#This Row],[Dimension]],1),TEXT(Table1[[#This Row],[Cluster]],"00"),Table1[[#This Row],[Fragecode]])</f>
        <v>E03c</v>
      </c>
      <c r="B9" s="41" t="s">
        <v>13</v>
      </c>
      <c r="C9" s="33">
        <v>3</v>
      </c>
      <c r="D9" s="33" t="s">
        <v>121</v>
      </c>
      <c r="E9" s="31" t="s">
        <v>126</v>
      </c>
      <c r="F9" s="31"/>
      <c r="G9" s="31" t="s">
        <v>139</v>
      </c>
      <c r="H9" s="31"/>
      <c r="I9" s="31" t="s">
        <v>140</v>
      </c>
      <c r="J9" s="31" t="s">
        <v>141</v>
      </c>
      <c r="K9" s="31" t="s">
        <v>142</v>
      </c>
      <c r="L9" s="31" t="s">
        <v>143</v>
      </c>
      <c r="M9" s="33">
        <v>1</v>
      </c>
      <c r="N9" s="33">
        <v>1</v>
      </c>
    </row>
    <row r="10" spans="1:14" customFormat="1" ht="105" x14ac:dyDescent="0.25">
      <c r="A10" s="35" t="str">
        <f>_xlfn.CONCAT(LEFT(Table1[[#This Row],[Dimension]],1),TEXT(Table1[[#This Row],[Cluster]],"00"),Table1[[#This Row],[Fragecode]])</f>
        <v>E03d</v>
      </c>
      <c r="B10" s="41" t="s">
        <v>13</v>
      </c>
      <c r="C10" s="33">
        <v>3</v>
      </c>
      <c r="D10" s="33" t="s">
        <v>144</v>
      </c>
      <c r="E10" s="31" t="s">
        <v>126</v>
      </c>
      <c r="F10" s="31"/>
      <c r="G10" s="31" t="s">
        <v>145</v>
      </c>
      <c r="H10" s="31"/>
      <c r="I10" s="31" t="s">
        <v>146</v>
      </c>
      <c r="J10" s="31" t="s">
        <v>147</v>
      </c>
      <c r="K10" s="31" t="s">
        <v>148</v>
      </c>
      <c r="L10" s="31" t="s">
        <v>149</v>
      </c>
      <c r="M10" s="33">
        <v>1</v>
      </c>
      <c r="N10" s="33">
        <v>1</v>
      </c>
    </row>
    <row r="11" spans="1:14" customFormat="1" ht="156" customHeight="1" x14ac:dyDescent="0.25">
      <c r="A11" s="35" t="str">
        <f>_xlfn.CONCAT(LEFT(Table1[[#This Row],[Dimension]],1),TEXT(Table1[[#This Row],[Cluster]],"00"),Table1[[#This Row],[Fragecode]])</f>
        <v>E03e</v>
      </c>
      <c r="B11" s="41" t="s">
        <v>13</v>
      </c>
      <c r="C11" s="33">
        <v>3</v>
      </c>
      <c r="D11" s="33" t="s">
        <v>150</v>
      </c>
      <c r="E11" s="31" t="s">
        <v>126</v>
      </c>
      <c r="F11" s="31"/>
      <c r="G11" s="31" t="s">
        <v>151</v>
      </c>
      <c r="H11" s="31"/>
      <c r="I11" s="31" t="s">
        <v>152</v>
      </c>
      <c r="J11" s="31" t="s">
        <v>153</v>
      </c>
      <c r="K11" s="31" t="s">
        <v>154</v>
      </c>
      <c r="L11" s="31" t="s">
        <v>155</v>
      </c>
      <c r="M11" s="33">
        <v>1</v>
      </c>
      <c r="N11" s="33">
        <v>1</v>
      </c>
    </row>
    <row r="12" spans="1:14" customFormat="1" ht="90" x14ac:dyDescent="0.25">
      <c r="A12" s="35" t="str">
        <f>_xlfn.CONCAT(LEFT(Table1[[#This Row],[Dimension]],1),TEXT(Table1[[#This Row],[Cluster]],"00"),Table1[[#This Row],[Fragecode]])</f>
        <v>E03f</v>
      </c>
      <c r="B12" s="41" t="s">
        <v>13</v>
      </c>
      <c r="C12" s="33">
        <v>3</v>
      </c>
      <c r="D12" s="33" t="s">
        <v>156</v>
      </c>
      <c r="E12" s="31" t="s">
        <v>126</v>
      </c>
      <c r="F12" s="31"/>
      <c r="G12" s="31" t="s">
        <v>157</v>
      </c>
      <c r="H12" s="31"/>
      <c r="I12" s="31" t="s">
        <v>158</v>
      </c>
      <c r="J12" s="31" t="s">
        <v>159</v>
      </c>
      <c r="K12" s="31" t="s">
        <v>160</v>
      </c>
      <c r="L12" s="31" t="s">
        <v>161</v>
      </c>
      <c r="M12" s="33">
        <v>1</v>
      </c>
      <c r="N12" s="33">
        <v>1</v>
      </c>
    </row>
    <row r="13" spans="1:14" customFormat="1" ht="60" x14ac:dyDescent="0.25">
      <c r="A13" s="35" t="str">
        <f>_xlfn.CONCAT(LEFT(Table1[[#This Row],[Dimension]],1),TEXT(Table1[[#This Row],[Cluster]],"00"),Table1[[#This Row],[Fragecode]])</f>
        <v>E04a</v>
      </c>
      <c r="B13" s="41" t="s">
        <v>13</v>
      </c>
      <c r="C13" s="33">
        <v>4</v>
      </c>
      <c r="D13" s="33" t="s">
        <v>92</v>
      </c>
      <c r="E13" s="31" t="s">
        <v>162</v>
      </c>
      <c r="F13" s="31" t="s">
        <v>163</v>
      </c>
      <c r="G13" s="31" t="s">
        <v>164</v>
      </c>
      <c r="H13" s="31" t="s">
        <v>165</v>
      </c>
      <c r="I13" s="31" t="s">
        <v>166</v>
      </c>
      <c r="J13" s="31" t="s">
        <v>167</v>
      </c>
      <c r="K13" s="31" t="s">
        <v>168</v>
      </c>
      <c r="L13" s="31" t="s">
        <v>169</v>
      </c>
      <c r="M13" s="33">
        <v>1</v>
      </c>
      <c r="N13" s="33">
        <v>0.1</v>
      </c>
    </row>
    <row r="14" spans="1:14" customFormat="1" ht="60" x14ac:dyDescent="0.25">
      <c r="A14" s="35" t="str">
        <f>_xlfn.CONCAT(LEFT(Table1[[#This Row],[Dimension]],1),TEXT(Table1[[#This Row],[Cluster]],"00"),Table1[[#This Row],[Fragecode]])</f>
        <v>E04b</v>
      </c>
      <c r="B14" s="41" t="s">
        <v>13</v>
      </c>
      <c r="C14" s="33">
        <v>4</v>
      </c>
      <c r="D14" s="33" t="s">
        <v>101</v>
      </c>
      <c r="E14" s="31" t="s">
        <v>162</v>
      </c>
      <c r="F14" s="31" t="s">
        <v>163</v>
      </c>
      <c r="G14" s="31" t="s">
        <v>170</v>
      </c>
      <c r="H14" s="31" t="s">
        <v>171</v>
      </c>
      <c r="I14" s="31" t="s">
        <v>172</v>
      </c>
      <c r="J14" s="31" t="s">
        <v>173</v>
      </c>
      <c r="K14" s="31" t="s">
        <v>174</v>
      </c>
      <c r="L14" s="31" t="s">
        <v>175</v>
      </c>
      <c r="M14" s="33">
        <v>1</v>
      </c>
      <c r="N14" s="33">
        <v>0.25</v>
      </c>
    </row>
    <row r="15" spans="1:14" customFormat="1" ht="98.25" customHeight="1" x14ac:dyDescent="0.25">
      <c r="A15" s="35" t="str">
        <f>_xlfn.CONCAT(LEFT(Table1[[#This Row],[Dimension]],1),TEXT(Table1[[#This Row],[Cluster]],"00"),Table1[[#This Row],[Fragecode]])</f>
        <v>E04c</v>
      </c>
      <c r="B15" s="41" t="s">
        <v>13</v>
      </c>
      <c r="C15" s="33">
        <v>4</v>
      </c>
      <c r="D15" s="33" t="s">
        <v>121</v>
      </c>
      <c r="E15" s="31" t="s">
        <v>162</v>
      </c>
      <c r="F15" s="31" t="s">
        <v>163</v>
      </c>
      <c r="G15" s="151" t="s">
        <v>176</v>
      </c>
      <c r="H15" s="151" t="s">
        <v>177</v>
      </c>
      <c r="I15" s="151" t="s">
        <v>178</v>
      </c>
      <c r="J15" s="151" t="s">
        <v>179</v>
      </c>
      <c r="K15" s="151" t="s">
        <v>180</v>
      </c>
      <c r="L15" s="151" t="s">
        <v>181</v>
      </c>
      <c r="M15" s="33">
        <v>1</v>
      </c>
      <c r="N15" s="33">
        <v>0.25</v>
      </c>
    </row>
    <row r="16" spans="1:14" customFormat="1" ht="90" x14ac:dyDescent="0.25">
      <c r="A16" s="35" t="str">
        <f>_xlfn.CONCAT(LEFT(Table1[[#This Row],[Dimension]],1),TEXT(Table1[[#This Row],[Cluster]],"00"),Table1[[#This Row],[Fragecode]])</f>
        <v>M01a</v>
      </c>
      <c r="B16" s="41" t="s">
        <v>14</v>
      </c>
      <c r="C16" s="33">
        <v>1</v>
      </c>
      <c r="D16" s="33" t="s">
        <v>92</v>
      </c>
      <c r="E16" s="31" t="s">
        <v>182</v>
      </c>
      <c r="F16" s="31" t="s">
        <v>94</v>
      </c>
      <c r="G16" s="31" t="s">
        <v>183</v>
      </c>
      <c r="H16" s="31" t="s">
        <v>184</v>
      </c>
      <c r="I16" s="31" t="s">
        <v>185</v>
      </c>
      <c r="J16" s="31" t="s">
        <v>186</v>
      </c>
      <c r="K16" s="31" t="s">
        <v>187</v>
      </c>
      <c r="L16" s="31" t="s">
        <v>188</v>
      </c>
      <c r="M16" s="33">
        <v>1</v>
      </c>
      <c r="N16" s="33">
        <v>1</v>
      </c>
    </row>
    <row r="17" spans="1:14" customFormat="1" ht="32.25" x14ac:dyDescent="0.25">
      <c r="A17" s="35" t="str">
        <f>_xlfn.CONCAT(LEFT(Table1[[#This Row],[Dimension]],1),TEXT(Table1[[#This Row],[Cluster]],"00"),Table1[[#This Row],[Fragecode]])</f>
        <v>M01b</v>
      </c>
      <c r="B17" s="41" t="s">
        <v>14</v>
      </c>
      <c r="C17" s="33">
        <v>1</v>
      </c>
      <c r="D17" s="33" t="s">
        <v>101</v>
      </c>
      <c r="E17" s="31" t="s">
        <v>182</v>
      </c>
      <c r="F17" s="31" t="s">
        <v>163</v>
      </c>
      <c r="G17" s="31" t="s">
        <v>189</v>
      </c>
      <c r="H17" s="31" t="s">
        <v>190</v>
      </c>
      <c r="I17" s="31" t="s">
        <v>191</v>
      </c>
      <c r="J17" s="31" t="s">
        <v>192</v>
      </c>
      <c r="K17" s="31" t="s">
        <v>193</v>
      </c>
      <c r="L17" s="31" t="s">
        <v>194</v>
      </c>
      <c r="M17" s="33">
        <v>1</v>
      </c>
      <c r="N17" s="33">
        <v>1</v>
      </c>
    </row>
    <row r="18" spans="1:14" customFormat="1" ht="32.25" x14ac:dyDescent="0.25">
      <c r="A18" s="35" t="str">
        <f>_xlfn.CONCAT(LEFT(Table1[[#This Row],[Dimension]],1),TEXT(Table1[[#This Row],[Cluster]],"00"),Table1[[#This Row],[Fragecode]])</f>
        <v>M01c</v>
      </c>
      <c r="B18" s="41" t="s">
        <v>14</v>
      </c>
      <c r="C18" s="33">
        <v>1</v>
      </c>
      <c r="D18" s="33" t="s">
        <v>121</v>
      </c>
      <c r="E18" s="31" t="s">
        <v>182</v>
      </c>
      <c r="F18" s="31" t="s">
        <v>163</v>
      </c>
      <c r="G18" s="31" t="s">
        <v>195</v>
      </c>
      <c r="H18" s="31" t="s">
        <v>196</v>
      </c>
      <c r="I18" s="31" t="s">
        <v>197</v>
      </c>
      <c r="J18" s="31" t="s">
        <v>198</v>
      </c>
      <c r="K18" s="31" t="s">
        <v>199</v>
      </c>
      <c r="L18" s="31" t="s">
        <v>200</v>
      </c>
      <c r="M18" s="33">
        <v>1</v>
      </c>
      <c r="N18" s="33">
        <v>1</v>
      </c>
    </row>
    <row r="19" spans="1:14" customFormat="1" ht="60" x14ac:dyDescent="0.25">
      <c r="A19" s="35" t="str">
        <f>_xlfn.CONCAT(LEFT(Table1[[#This Row],[Dimension]],1),TEXT(Table1[[#This Row],[Cluster]],"00"),Table1[[#This Row],[Fragecode]])</f>
        <v>M01d</v>
      </c>
      <c r="B19" s="41" t="s">
        <v>14</v>
      </c>
      <c r="C19" s="33">
        <v>1</v>
      </c>
      <c r="D19" s="33" t="s">
        <v>144</v>
      </c>
      <c r="E19" s="31" t="s">
        <v>182</v>
      </c>
      <c r="F19" s="31" t="s">
        <v>163</v>
      </c>
      <c r="G19" s="31" t="s">
        <v>201</v>
      </c>
      <c r="H19" s="31" t="s">
        <v>202</v>
      </c>
      <c r="I19" s="31" t="s">
        <v>203</v>
      </c>
      <c r="J19" s="31" t="s">
        <v>204</v>
      </c>
      <c r="K19" s="31" t="s">
        <v>205</v>
      </c>
      <c r="L19" s="31" t="s">
        <v>206</v>
      </c>
      <c r="M19" s="33">
        <v>1</v>
      </c>
      <c r="N19" s="33">
        <v>1</v>
      </c>
    </row>
    <row r="20" spans="1:14" customFormat="1" ht="32.25" x14ac:dyDescent="0.25">
      <c r="A20" s="35" t="str">
        <f>_xlfn.CONCAT(LEFT(Table1[[#This Row],[Dimension]],1),TEXT(Table1[[#This Row],[Cluster]],"00"),Table1[[#This Row],[Fragecode]])</f>
        <v>M01e</v>
      </c>
      <c r="B20" s="41" t="s">
        <v>14</v>
      </c>
      <c r="C20" s="33">
        <v>1</v>
      </c>
      <c r="D20" s="33" t="s">
        <v>150</v>
      </c>
      <c r="E20" s="31" t="s">
        <v>182</v>
      </c>
      <c r="F20" s="31" t="s">
        <v>163</v>
      </c>
      <c r="G20" s="31" t="s">
        <v>207</v>
      </c>
      <c r="H20" s="31" t="s">
        <v>208</v>
      </c>
      <c r="I20" s="31" t="s">
        <v>209</v>
      </c>
      <c r="J20" s="31" t="s">
        <v>210</v>
      </c>
      <c r="K20" s="31" t="s">
        <v>211</v>
      </c>
      <c r="L20" s="31" t="s">
        <v>212</v>
      </c>
      <c r="M20" s="33">
        <v>1</v>
      </c>
      <c r="N20" s="33">
        <v>0.5</v>
      </c>
    </row>
    <row r="21" spans="1:14" customFormat="1" ht="60" x14ac:dyDescent="0.25">
      <c r="A21" s="35" t="str">
        <f>_xlfn.CONCAT(LEFT(Table1[[#This Row],[Dimension]],1),TEXT(Table1[[#This Row],[Cluster]],"00"),Table1[[#This Row],[Fragecode]])</f>
        <v>M01f</v>
      </c>
      <c r="B21" s="41" t="s">
        <v>14</v>
      </c>
      <c r="C21" s="33">
        <v>1</v>
      </c>
      <c r="D21" s="33" t="s">
        <v>156</v>
      </c>
      <c r="E21" s="31" t="s">
        <v>182</v>
      </c>
      <c r="F21" s="31"/>
      <c r="G21" s="31" t="s">
        <v>213</v>
      </c>
      <c r="H21" s="31"/>
      <c r="I21" s="31" t="s">
        <v>214</v>
      </c>
      <c r="J21" s="31" t="s">
        <v>215</v>
      </c>
      <c r="K21" s="31" t="s">
        <v>216</v>
      </c>
      <c r="L21" s="31" t="s">
        <v>217</v>
      </c>
      <c r="M21" s="33">
        <v>1</v>
      </c>
      <c r="N21" s="33">
        <v>0.9</v>
      </c>
    </row>
    <row r="22" spans="1:14" customFormat="1" ht="90" x14ac:dyDescent="0.25">
      <c r="A22" s="35" t="str">
        <f>_xlfn.CONCAT(LEFT(Table1[[#This Row],[Dimension]],1),TEXT(Table1[[#This Row],[Cluster]],"00"),Table1[[#This Row],[Fragecode]])</f>
        <v>M01g</v>
      </c>
      <c r="B22" s="41" t="s">
        <v>14</v>
      </c>
      <c r="C22" s="33">
        <v>1</v>
      </c>
      <c r="D22" s="33" t="s">
        <v>218</v>
      </c>
      <c r="E22" s="31" t="s">
        <v>182</v>
      </c>
      <c r="F22" s="31"/>
      <c r="G22" s="31" t="s">
        <v>219</v>
      </c>
      <c r="H22" s="31"/>
      <c r="I22" s="31" t="s">
        <v>220</v>
      </c>
      <c r="J22" s="31" t="s">
        <v>221</v>
      </c>
      <c r="K22" s="31" t="s">
        <v>222</v>
      </c>
      <c r="L22" s="31" t="s">
        <v>223</v>
      </c>
      <c r="M22" s="33">
        <v>1</v>
      </c>
      <c r="N22" s="33">
        <v>0.9</v>
      </c>
    </row>
    <row r="23" spans="1:14" customFormat="1" ht="60" x14ac:dyDescent="0.25">
      <c r="A23" s="35" t="str">
        <f>_xlfn.CONCAT(LEFT(Table1[[#This Row],[Dimension]],1),TEXT(Table1[[#This Row],[Cluster]],"00"),Table1[[#This Row],[Fragecode]])</f>
        <v>M02a</v>
      </c>
      <c r="B23" s="41" t="s">
        <v>14</v>
      </c>
      <c r="C23" s="33">
        <v>2</v>
      </c>
      <c r="D23" s="33" t="s">
        <v>92</v>
      </c>
      <c r="E23" s="31" t="s">
        <v>224</v>
      </c>
      <c r="F23" s="31" t="s">
        <v>94</v>
      </c>
      <c r="G23" s="31" t="s">
        <v>225</v>
      </c>
      <c r="H23" s="31" t="s">
        <v>226</v>
      </c>
      <c r="I23" s="31" t="s">
        <v>227</v>
      </c>
      <c r="J23" s="31" t="s">
        <v>228</v>
      </c>
      <c r="K23" s="31" t="s">
        <v>229</v>
      </c>
      <c r="L23" s="31" t="s">
        <v>230</v>
      </c>
      <c r="M23" s="33">
        <v>1</v>
      </c>
      <c r="N23" s="33">
        <v>1</v>
      </c>
    </row>
    <row r="24" spans="1:14" customFormat="1" ht="90" x14ac:dyDescent="0.25">
      <c r="A24" s="35" t="str">
        <f>_xlfn.CONCAT(LEFT(Table1[[#This Row],[Dimension]],1),TEXT(Table1[[#This Row],[Cluster]],"00"),Table1[[#This Row],[Fragecode]])</f>
        <v>M02b</v>
      </c>
      <c r="B24" s="41" t="s">
        <v>14</v>
      </c>
      <c r="C24" s="33">
        <v>2</v>
      </c>
      <c r="D24" s="33" t="s">
        <v>101</v>
      </c>
      <c r="E24" s="31" t="s">
        <v>224</v>
      </c>
      <c r="F24" s="31" t="s">
        <v>94</v>
      </c>
      <c r="G24" s="31" t="s">
        <v>231</v>
      </c>
      <c r="H24" s="31" t="s">
        <v>232</v>
      </c>
      <c r="I24" s="31" t="s">
        <v>233</v>
      </c>
      <c r="J24" s="31" t="s">
        <v>234</v>
      </c>
      <c r="K24" s="31" t="s">
        <v>235</v>
      </c>
      <c r="L24" s="31" t="s">
        <v>236</v>
      </c>
      <c r="M24" s="33">
        <v>1</v>
      </c>
      <c r="N24" s="33">
        <v>0.6</v>
      </c>
    </row>
    <row r="25" spans="1:14" customFormat="1" ht="60" x14ac:dyDescent="0.25">
      <c r="A25" s="35" t="str">
        <f>_xlfn.CONCAT(LEFT(Table1[[#This Row],[Dimension]],1),TEXT(Table1[[#This Row],[Cluster]],"00"),Table1[[#This Row],[Fragecode]])</f>
        <v>M02c</v>
      </c>
      <c r="B25" s="41" t="s">
        <v>14</v>
      </c>
      <c r="C25" s="33">
        <v>2</v>
      </c>
      <c r="D25" s="33" t="s">
        <v>121</v>
      </c>
      <c r="E25" s="31" t="s">
        <v>224</v>
      </c>
      <c r="F25" s="31" t="s">
        <v>94</v>
      </c>
      <c r="G25" s="31" t="s">
        <v>237</v>
      </c>
      <c r="H25" s="31" t="s">
        <v>238</v>
      </c>
      <c r="I25" s="31" t="s">
        <v>239</v>
      </c>
      <c r="J25" s="31" t="s">
        <v>240</v>
      </c>
      <c r="K25" s="31" t="s">
        <v>241</v>
      </c>
      <c r="L25" s="31" t="s">
        <v>242</v>
      </c>
      <c r="M25" s="33">
        <v>1</v>
      </c>
      <c r="N25" s="33">
        <v>0.5</v>
      </c>
    </row>
    <row r="26" spans="1:14" customFormat="1" ht="55.5" customHeight="1" x14ac:dyDescent="0.25">
      <c r="A26" s="35" t="str">
        <f>_xlfn.CONCAT(LEFT(Table1[[#This Row],[Dimension]],1),TEXT(Table1[[#This Row],[Cluster]],"00"),Table1[[#This Row],[Fragecode]])</f>
        <v>M02d</v>
      </c>
      <c r="B26" s="41" t="s">
        <v>14</v>
      </c>
      <c r="C26" s="33">
        <v>2</v>
      </c>
      <c r="D26" s="33" t="s">
        <v>144</v>
      </c>
      <c r="E26" s="31" t="s">
        <v>224</v>
      </c>
      <c r="F26" s="31" t="s">
        <v>94</v>
      </c>
      <c r="G26" s="31" t="s">
        <v>243</v>
      </c>
      <c r="H26" s="31" t="s">
        <v>244</v>
      </c>
      <c r="I26" s="31" t="s">
        <v>245</v>
      </c>
      <c r="J26" s="31" t="s">
        <v>246</v>
      </c>
      <c r="K26" s="31" t="s">
        <v>247</v>
      </c>
      <c r="L26" s="31" t="s">
        <v>248</v>
      </c>
      <c r="M26" s="33">
        <v>1</v>
      </c>
      <c r="N26" s="33">
        <v>0.25</v>
      </c>
    </row>
    <row r="27" spans="1:14" customFormat="1" ht="45" x14ac:dyDescent="0.25">
      <c r="A27" s="35" t="str">
        <f>_xlfn.CONCAT(LEFT(Table1[[#This Row],[Dimension]],1),TEXT(Table1[[#This Row],[Cluster]],"00"),Table1[[#This Row],[Fragecode]])</f>
        <v>M02e</v>
      </c>
      <c r="B27" s="41" t="s">
        <v>14</v>
      </c>
      <c r="C27" s="33">
        <v>2</v>
      </c>
      <c r="D27" s="33" t="s">
        <v>150</v>
      </c>
      <c r="E27" s="31" t="s">
        <v>224</v>
      </c>
      <c r="F27" s="31" t="s">
        <v>163</v>
      </c>
      <c r="G27" s="31" t="s">
        <v>249</v>
      </c>
      <c r="H27" s="31" t="s">
        <v>250</v>
      </c>
      <c r="I27" s="31" t="s">
        <v>251</v>
      </c>
      <c r="J27" s="31" t="s">
        <v>252</v>
      </c>
      <c r="K27" s="31" t="s">
        <v>253</v>
      </c>
      <c r="L27" s="31" t="s">
        <v>254</v>
      </c>
      <c r="M27" s="33">
        <v>1</v>
      </c>
      <c r="N27" s="33">
        <v>0.75</v>
      </c>
    </row>
    <row r="28" spans="1:14" customFormat="1" ht="45" x14ac:dyDescent="0.25">
      <c r="A28" s="35" t="str">
        <f>_xlfn.CONCAT(LEFT(Table1[[#This Row],[Dimension]],1),TEXT(Table1[[#This Row],[Cluster]],"00"),Table1[[#This Row],[Fragecode]])</f>
        <v>M02f</v>
      </c>
      <c r="B28" s="41" t="s">
        <v>14</v>
      </c>
      <c r="C28" s="33">
        <v>2</v>
      </c>
      <c r="D28" s="33" t="s">
        <v>156</v>
      </c>
      <c r="E28" s="31" t="s">
        <v>224</v>
      </c>
      <c r="F28" s="31" t="s">
        <v>163</v>
      </c>
      <c r="G28" s="31" t="s">
        <v>255</v>
      </c>
      <c r="H28" s="31" t="s">
        <v>256</v>
      </c>
      <c r="I28" s="31" t="s">
        <v>257</v>
      </c>
      <c r="J28" s="31" t="s">
        <v>258</v>
      </c>
      <c r="K28" s="31" t="s">
        <v>259</v>
      </c>
      <c r="L28" s="31" t="s">
        <v>260</v>
      </c>
      <c r="M28" s="33">
        <v>1</v>
      </c>
      <c r="N28" s="33">
        <v>0</v>
      </c>
    </row>
    <row r="29" spans="1:14" customFormat="1" ht="45" x14ac:dyDescent="0.25">
      <c r="A29" s="35" t="str">
        <f>_xlfn.CONCAT(LEFT(Table1[[#This Row],[Dimension]],1),TEXT(Table1[[#This Row],[Cluster]],"00"),Table1[[#This Row],[Fragecode]])</f>
        <v>M02g</v>
      </c>
      <c r="B29" s="41" t="s">
        <v>14</v>
      </c>
      <c r="C29" s="33">
        <v>2</v>
      </c>
      <c r="D29" s="33" t="s">
        <v>218</v>
      </c>
      <c r="E29" s="31" t="s">
        <v>224</v>
      </c>
      <c r="F29" s="31" t="s">
        <v>94</v>
      </c>
      <c r="G29" s="31" t="s">
        <v>261</v>
      </c>
      <c r="H29" s="31" t="s">
        <v>262</v>
      </c>
      <c r="I29" s="31" t="s">
        <v>263</v>
      </c>
      <c r="J29" s="31" t="s">
        <v>264</v>
      </c>
      <c r="K29" s="31" t="s">
        <v>265</v>
      </c>
      <c r="L29" s="31" t="s">
        <v>266</v>
      </c>
      <c r="M29" s="33">
        <v>1</v>
      </c>
      <c r="N29" s="33">
        <v>1</v>
      </c>
    </row>
    <row r="30" spans="1:14" ht="60" x14ac:dyDescent="0.25">
      <c r="A30" s="35" t="str">
        <f>_xlfn.CONCAT(LEFT(Table1[[#This Row],[Dimension]],1),TEXT(Table1[[#This Row],[Cluster]],"00"),Table1[[#This Row],[Fragecode]])</f>
        <v>H01a</v>
      </c>
      <c r="B30" s="41" t="s">
        <v>10</v>
      </c>
      <c r="C30" s="33">
        <v>1</v>
      </c>
      <c r="D30" s="33" t="s">
        <v>92</v>
      </c>
      <c r="E30" s="31" t="s">
        <v>267</v>
      </c>
      <c r="F30" s="31" t="s">
        <v>94</v>
      </c>
      <c r="G30" s="31" t="s">
        <v>268</v>
      </c>
      <c r="H30" s="31" t="s">
        <v>269</v>
      </c>
      <c r="I30" s="31" t="s">
        <v>270</v>
      </c>
      <c r="J30" s="31" t="s">
        <v>271</v>
      </c>
      <c r="K30" s="31" t="s">
        <v>272</v>
      </c>
      <c r="L30" s="31" t="s">
        <v>273</v>
      </c>
      <c r="M30" s="33">
        <v>1</v>
      </c>
      <c r="N30" s="33">
        <v>0.3</v>
      </c>
    </row>
    <row r="31" spans="1:14" ht="102" customHeight="1" x14ac:dyDescent="0.25">
      <c r="A31" s="35" t="str">
        <f>_xlfn.CONCAT(LEFT(Table1[[#This Row],[Dimension]],1),TEXT(Table1[[#This Row],[Cluster]],"00"),Table1[[#This Row],[Fragecode]])</f>
        <v>H01b</v>
      </c>
      <c r="B31" s="41" t="s">
        <v>10</v>
      </c>
      <c r="C31" s="33">
        <v>1</v>
      </c>
      <c r="D31" s="33" t="s">
        <v>101</v>
      </c>
      <c r="E31" s="31" t="s">
        <v>267</v>
      </c>
      <c r="F31" s="31" t="s">
        <v>94</v>
      </c>
      <c r="G31" s="31" t="s">
        <v>274</v>
      </c>
      <c r="H31" s="31" t="s">
        <v>275</v>
      </c>
      <c r="I31" s="31" t="s">
        <v>276</v>
      </c>
      <c r="J31" s="31" t="s">
        <v>277</v>
      </c>
      <c r="K31" s="31" t="s">
        <v>278</v>
      </c>
      <c r="L31" s="31" t="s">
        <v>279</v>
      </c>
      <c r="M31" s="150">
        <v>1</v>
      </c>
      <c r="N31" s="33">
        <v>0.75</v>
      </c>
    </row>
    <row r="32" spans="1:14" customFormat="1" ht="81.75" customHeight="1" x14ac:dyDescent="0.25">
      <c r="A32" s="35" t="str">
        <f>_xlfn.CONCAT(LEFT(Table1[[#This Row],[Dimension]],1),TEXT(Table1[[#This Row],[Cluster]],"00"),Table1[[#This Row],[Fragecode]])</f>
        <v>H01c</v>
      </c>
      <c r="B32" s="41" t="s">
        <v>10</v>
      </c>
      <c r="C32" s="33">
        <v>1</v>
      </c>
      <c r="D32" s="33" t="s">
        <v>121</v>
      </c>
      <c r="E32" s="31" t="s">
        <v>267</v>
      </c>
      <c r="F32" s="31" t="s">
        <v>94</v>
      </c>
      <c r="G32" s="31" t="s">
        <v>280</v>
      </c>
      <c r="H32" s="31" t="s">
        <v>281</v>
      </c>
      <c r="I32" s="31" t="s">
        <v>282</v>
      </c>
      <c r="J32" s="31" t="s">
        <v>283</v>
      </c>
      <c r="K32" s="31" t="s">
        <v>284</v>
      </c>
      <c r="L32" s="31" t="s">
        <v>285</v>
      </c>
      <c r="M32" s="33">
        <v>1</v>
      </c>
      <c r="N32" s="33">
        <v>0</v>
      </c>
    </row>
    <row r="33" spans="1:14" customFormat="1" ht="44.25" x14ac:dyDescent="0.25">
      <c r="A33" s="35" t="str">
        <f>_xlfn.CONCAT(LEFT(Table1[[#This Row],[Dimension]],1),TEXT(Table1[[#This Row],[Cluster]],"00"),Table1[[#This Row],[Fragecode]])</f>
        <v>H01d</v>
      </c>
      <c r="B33" s="41" t="s">
        <v>10</v>
      </c>
      <c r="C33" s="33">
        <v>1</v>
      </c>
      <c r="D33" s="33" t="s">
        <v>144</v>
      </c>
      <c r="E33" s="31" t="s">
        <v>267</v>
      </c>
      <c r="F33" s="31" t="s">
        <v>94</v>
      </c>
      <c r="G33" s="31" t="s">
        <v>286</v>
      </c>
      <c r="H33" s="31" t="s">
        <v>287</v>
      </c>
      <c r="I33" s="31" t="s">
        <v>288</v>
      </c>
      <c r="J33" s="31" t="s">
        <v>289</v>
      </c>
      <c r="K33" s="31" t="s">
        <v>290</v>
      </c>
      <c r="L33" s="31" t="s">
        <v>291</v>
      </c>
      <c r="M33" s="33">
        <v>1</v>
      </c>
      <c r="N33" s="33">
        <v>0.8</v>
      </c>
    </row>
    <row r="34" spans="1:14" customFormat="1" ht="95.25" customHeight="1" x14ac:dyDescent="0.25">
      <c r="A34" s="35" t="str">
        <f>_xlfn.CONCAT(LEFT(Table1[[#This Row],[Dimension]],1),TEXT(Table1[[#This Row],[Cluster]],"00"),Table1[[#This Row],[Fragecode]])</f>
        <v>H01e</v>
      </c>
      <c r="B34" s="41" t="s">
        <v>10</v>
      </c>
      <c r="C34" s="33">
        <v>1</v>
      </c>
      <c r="D34" s="33" t="s">
        <v>150</v>
      </c>
      <c r="E34" s="31" t="s">
        <v>267</v>
      </c>
      <c r="F34" s="31" t="s">
        <v>94</v>
      </c>
      <c r="G34" s="151" t="s">
        <v>292</v>
      </c>
      <c r="H34" s="151" t="s">
        <v>559</v>
      </c>
      <c r="I34" s="151" t="s">
        <v>293</v>
      </c>
      <c r="J34" s="151" t="s">
        <v>294</v>
      </c>
      <c r="K34" s="151" t="s">
        <v>295</v>
      </c>
      <c r="L34" s="151" t="s">
        <v>296</v>
      </c>
      <c r="M34" s="33">
        <v>1</v>
      </c>
      <c r="N34" s="33">
        <v>0.8</v>
      </c>
    </row>
    <row r="35" spans="1:14" customFormat="1" ht="95.25" customHeight="1" x14ac:dyDescent="0.25">
      <c r="A35" s="35" t="str">
        <f>_xlfn.CONCAT(LEFT(Table1[[#This Row],[Dimension]],1),TEXT(Table1[[#This Row],[Cluster]],"00"),Table1[[#This Row],[Fragecode]])</f>
        <v>H01f</v>
      </c>
      <c r="B35" s="41" t="s">
        <v>10</v>
      </c>
      <c r="C35" s="33">
        <v>1</v>
      </c>
      <c r="D35" s="33" t="s">
        <v>156</v>
      </c>
      <c r="E35" s="31" t="s">
        <v>267</v>
      </c>
      <c r="F35" s="31" t="s">
        <v>94</v>
      </c>
      <c r="G35" s="151" t="s">
        <v>297</v>
      </c>
      <c r="H35" s="151" t="s">
        <v>298</v>
      </c>
      <c r="I35" s="151" t="s">
        <v>299</v>
      </c>
      <c r="J35" s="151" t="s">
        <v>300</v>
      </c>
      <c r="K35" s="151" t="s">
        <v>301</v>
      </c>
      <c r="L35" s="151" t="s">
        <v>302</v>
      </c>
      <c r="M35" s="33">
        <v>1</v>
      </c>
      <c r="N35" s="33">
        <v>0.8</v>
      </c>
    </row>
    <row r="36" spans="1:14" customFormat="1" ht="89.25" customHeight="1" x14ac:dyDescent="0.25">
      <c r="A36" s="35" t="str">
        <f>_xlfn.CONCAT(LEFT(Table1[[#This Row],[Dimension]],1),TEXT(Table1[[#This Row],[Cluster]],"00"),Table1[[#This Row],[Fragecode]])</f>
        <v>H02a</v>
      </c>
      <c r="B36" s="41" t="s">
        <v>10</v>
      </c>
      <c r="C36" s="33">
        <v>2</v>
      </c>
      <c r="D36" s="33" t="s">
        <v>92</v>
      </c>
      <c r="E36" s="31" t="s">
        <v>303</v>
      </c>
      <c r="F36" s="31" t="s">
        <v>304</v>
      </c>
      <c r="G36" s="31" t="s">
        <v>305</v>
      </c>
      <c r="H36" s="31" t="s">
        <v>306</v>
      </c>
      <c r="I36" s="31" t="s">
        <v>307</v>
      </c>
      <c r="J36" s="31" t="s">
        <v>308</v>
      </c>
      <c r="K36" s="31" t="s">
        <v>309</v>
      </c>
      <c r="L36" s="31" t="s">
        <v>310</v>
      </c>
      <c r="M36" s="33">
        <v>1</v>
      </c>
      <c r="N36" s="33">
        <v>0.5</v>
      </c>
    </row>
    <row r="37" spans="1:14" customFormat="1" ht="45" x14ac:dyDescent="0.25">
      <c r="A37" s="35" t="str">
        <f>_xlfn.CONCAT(LEFT(Table1[[#This Row],[Dimension]],1),TEXT(Table1[[#This Row],[Cluster]],"00"),Table1[[#This Row],[Fragecode]])</f>
        <v>H02b</v>
      </c>
      <c r="B37" s="41" t="s">
        <v>10</v>
      </c>
      <c r="C37" s="33">
        <v>2</v>
      </c>
      <c r="D37" s="33" t="s">
        <v>101</v>
      </c>
      <c r="E37" s="31" t="s">
        <v>303</v>
      </c>
      <c r="F37" s="31" t="s">
        <v>163</v>
      </c>
      <c r="G37" s="31" t="s">
        <v>311</v>
      </c>
      <c r="H37" s="31" t="s">
        <v>312</v>
      </c>
      <c r="I37" s="31" t="s">
        <v>313</v>
      </c>
      <c r="J37" s="31" t="s">
        <v>308</v>
      </c>
      <c r="K37" s="31" t="s">
        <v>314</v>
      </c>
      <c r="L37" s="31" t="s">
        <v>315</v>
      </c>
      <c r="M37" s="33">
        <v>1</v>
      </c>
      <c r="N37" s="33">
        <v>0.5</v>
      </c>
    </row>
    <row r="38" spans="1:14" ht="60" x14ac:dyDescent="0.25">
      <c r="A38" s="35" t="str">
        <f>_xlfn.CONCAT(LEFT(Table1[[#This Row],[Dimension]],1),TEXT(Table1[[#This Row],[Cluster]],"00"),Table1[[#This Row],[Fragecode]])</f>
        <v>H02c</v>
      </c>
      <c r="B38" s="41" t="s">
        <v>10</v>
      </c>
      <c r="C38" s="33">
        <v>2</v>
      </c>
      <c r="D38" s="33" t="s">
        <v>121</v>
      </c>
      <c r="E38" s="31" t="s">
        <v>303</v>
      </c>
      <c r="F38" s="31" t="s">
        <v>163</v>
      </c>
      <c r="G38" s="31" t="s">
        <v>316</v>
      </c>
      <c r="H38" s="31" t="s">
        <v>317</v>
      </c>
      <c r="I38" s="31" t="s">
        <v>318</v>
      </c>
      <c r="J38" s="31" t="s">
        <v>308</v>
      </c>
      <c r="K38" s="31" t="s">
        <v>319</v>
      </c>
      <c r="L38" s="31" t="s">
        <v>320</v>
      </c>
      <c r="M38" s="33">
        <v>1</v>
      </c>
      <c r="N38" s="33">
        <v>0.75</v>
      </c>
    </row>
    <row r="39" spans="1:14" ht="75" x14ac:dyDescent="0.25">
      <c r="A39" s="35" t="str">
        <f>_xlfn.CONCAT(LEFT(Table1[[#This Row],[Dimension]],1),TEXT(Table1[[#This Row],[Cluster]],"00"),Table1[[#This Row],[Fragecode]])</f>
        <v>H02d</v>
      </c>
      <c r="B39" s="41" t="s">
        <v>10</v>
      </c>
      <c r="C39" s="33">
        <v>2</v>
      </c>
      <c r="D39" s="33" t="s">
        <v>144</v>
      </c>
      <c r="E39" s="31" t="s">
        <v>303</v>
      </c>
      <c r="F39" s="31" t="s">
        <v>163</v>
      </c>
      <c r="G39" s="31" t="s">
        <v>321</v>
      </c>
      <c r="H39" s="31" t="s">
        <v>322</v>
      </c>
      <c r="I39" s="31" t="s">
        <v>323</v>
      </c>
      <c r="J39" s="31" t="s">
        <v>324</v>
      </c>
      <c r="K39" s="31" t="s">
        <v>325</v>
      </c>
      <c r="L39" s="31" t="s">
        <v>326</v>
      </c>
      <c r="M39" s="33">
        <v>1</v>
      </c>
      <c r="N39" s="33">
        <v>0.25</v>
      </c>
    </row>
    <row r="40" spans="1:14" ht="101.25" customHeight="1" x14ac:dyDescent="0.25">
      <c r="A40" s="35" t="str">
        <f>_xlfn.CONCAT(LEFT(Table1[[#This Row],[Dimension]],1),TEXT(Table1[[#This Row],[Cluster]],"00"),Table1[[#This Row],[Fragecode]])</f>
        <v>H02e</v>
      </c>
      <c r="B40" s="41" t="s">
        <v>10</v>
      </c>
      <c r="C40" s="33">
        <v>2</v>
      </c>
      <c r="D40" s="33" t="s">
        <v>150</v>
      </c>
      <c r="E40" s="31" t="s">
        <v>303</v>
      </c>
      <c r="F40" s="31" t="s">
        <v>163</v>
      </c>
      <c r="G40" s="151" t="s">
        <v>327</v>
      </c>
      <c r="H40" s="151" t="s">
        <v>328</v>
      </c>
      <c r="I40" s="151" t="s">
        <v>329</v>
      </c>
      <c r="J40" s="151" t="s">
        <v>330</v>
      </c>
      <c r="K40" s="151" t="s">
        <v>331</v>
      </c>
      <c r="L40" s="151" t="s">
        <v>332</v>
      </c>
      <c r="M40" s="33">
        <v>1</v>
      </c>
      <c r="N40" s="33">
        <v>0.25</v>
      </c>
    </row>
    <row r="41" spans="1:14" ht="101.25" customHeight="1" x14ac:dyDescent="0.25">
      <c r="A41" s="35" t="str">
        <f>_xlfn.CONCAT(LEFT(Table1[[#This Row],[Dimension]],1),TEXT(Table1[[#This Row],[Cluster]],"00"),Table1[[#This Row],[Fragecode]])</f>
        <v>H02f</v>
      </c>
      <c r="B41" s="41" t="s">
        <v>10</v>
      </c>
      <c r="C41" s="33">
        <v>2</v>
      </c>
      <c r="D41" s="33" t="s">
        <v>156</v>
      </c>
      <c r="E41" s="31" t="s">
        <v>303</v>
      </c>
      <c r="F41" s="31" t="s">
        <v>163</v>
      </c>
      <c r="G41" s="151" t="s">
        <v>333</v>
      </c>
      <c r="H41" s="151" t="s">
        <v>334</v>
      </c>
      <c r="I41" s="151" t="s">
        <v>335</v>
      </c>
      <c r="J41" s="151" t="s">
        <v>336</v>
      </c>
      <c r="K41" s="151" t="s">
        <v>337</v>
      </c>
      <c r="L41" s="151" t="s">
        <v>338</v>
      </c>
      <c r="M41" s="33">
        <v>1</v>
      </c>
      <c r="N41" s="33">
        <v>0.25</v>
      </c>
    </row>
    <row r="42" spans="1:14" ht="115.5" customHeight="1" x14ac:dyDescent="0.25">
      <c r="A42" s="35" t="str">
        <f>_xlfn.CONCAT(LEFT(Table1[[#This Row],[Dimension]],1),TEXT(Table1[[#This Row],[Cluster]],"00"),Table1[[#This Row],[Fragecode]])</f>
        <v>H02g</v>
      </c>
      <c r="B42" s="41" t="s">
        <v>10</v>
      </c>
      <c r="C42" s="33">
        <v>2</v>
      </c>
      <c r="D42" s="33" t="s">
        <v>218</v>
      </c>
      <c r="E42" s="31" t="s">
        <v>303</v>
      </c>
      <c r="F42" s="31" t="s">
        <v>163</v>
      </c>
      <c r="G42" s="151" t="s">
        <v>339</v>
      </c>
      <c r="H42" s="151" t="s">
        <v>340</v>
      </c>
      <c r="I42" s="151" t="s">
        <v>341</v>
      </c>
      <c r="J42" s="151" t="s">
        <v>342</v>
      </c>
      <c r="K42" s="151" t="s">
        <v>343</v>
      </c>
      <c r="L42" s="151" t="s">
        <v>344</v>
      </c>
      <c r="M42" s="33">
        <v>1</v>
      </c>
      <c r="N42" s="33">
        <v>0.4</v>
      </c>
    </row>
    <row r="43" spans="1:14" ht="44.25" x14ac:dyDescent="0.25">
      <c r="A43" s="35" t="str">
        <f>_xlfn.CONCAT(LEFT(Table1[[#This Row],[Dimension]],1),TEXT(Table1[[#This Row],[Cluster]],"00"),Table1[[#This Row],[Fragecode]])</f>
        <v>H03a</v>
      </c>
      <c r="B43" s="41" t="s">
        <v>10</v>
      </c>
      <c r="C43" s="33">
        <v>3</v>
      </c>
      <c r="D43" s="33" t="s">
        <v>92</v>
      </c>
      <c r="E43" s="31" t="s">
        <v>345</v>
      </c>
      <c r="F43" s="31" t="s">
        <v>163</v>
      </c>
      <c r="G43" s="31" t="s">
        <v>346</v>
      </c>
      <c r="H43" s="31" t="s">
        <v>347</v>
      </c>
      <c r="I43" s="31" t="s">
        <v>348</v>
      </c>
      <c r="J43" s="31" t="s">
        <v>349</v>
      </c>
      <c r="K43" s="31" t="s">
        <v>350</v>
      </c>
      <c r="L43" s="31" t="s">
        <v>351</v>
      </c>
      <c r="M43" s="33">
        <v>1</v>
      </c>
      <c r="N43" s="33">
        <v>1</v>
      </c>
    </row>
    <row r="44" spans="1:14" ht="103.5" customHeight="1" x14ac:dyDescent="0.25">
      <c r="A44" s="35" t="str">
        <f>_xlfn.CONCAT(LEFT(Table1[[#This Row],[Dimension]],1),TEXT(Table1[[#This Row],[Cluster]],"00"),Table1[[#This Row],[Fragecode]])</f>
        <v>H03b</v>
      </c>
      <c r="B44" s="41" t="s">
        <v>10</v>
      </c>
      <c r="C44" s="33">
        <v>3</v>
      </c>
      <c r="D44" s="33" t="s">
        <v>101</v>
      </c>
      <c r="E44" s="31" t="s">
        <v>345</v>
      </c>
      <c r="F44" s="31"/>
      <c r="G44" s="31" t="s">
        <v>352</v>
      </c>
      <c r="H44" s="31"/>
      <c r="I44" s="31" t="s">
        <v>353</v>
      </c>
      <c r="J44" s="31" t="s">
        <v>354</v>
      </c>
      <c r="K44" s="31" t="s">
        <v>355</v>
      </c>
      <c r="L44" s="31" t="s">
        <v>356</v>
      </c>
      <c r="M44" s="33">
        <v>1</v>
      </c>
      <c r="N44" s="33">
        <v>0.7</v>
      </c>
    </row>
    <row r="45" spans="1:14" customFormat="1" ht="60" x14ac:dyDescent="0.25">
      <c r="A45" s="35" t="str">
        <f>_xlfn.CONCAT(LEFT(Table1[[#This Row],[Dimension]],1),TEXT(Table1[[#This Row],[Cluster]],"00"),Table1[[#This Row],[Fragecode]])</f>
        <v>H03c</v>
      </c>
      <c r="B45" s="41" t="s">
        <v>10</v>
      </c>
      <c r="C45" s="33">
        <v>3</v>
      </c>
      <c r="D45" s="33" t="s">
        <v>121</v>
      </c>
      <c r="E45" s="31" t="s">
        <v>345</v>
      </c>
      <c r="F45" s="31" t="s">
        <v>94</v>
      </c>
      <c r="G45" s="31" t="s">
        <v>357</v>
      </c>
      <c r="H45" s="31" t="s">
        <v>358</v>
      </c>
      <c r="I45" s="31" t="s">
        <v>359</v>
      </c>
      <c r="J45" s="31" t="s">
        <v>360</v>
      </c>
      <c r="K45" s="31" t="s">
        <v>361</v>
      </c>
      <c r="L45" s="31" t="s">
        <v>362</v>
      </c>
      <c r="M45" s="33">
        <v>1</v>
      </c>
      <c r="N45" s="33">
        <v>0</v>
      </c>
    </row>
    <row r="46" spans="1:14" customFormat="1" ht="97.5" customHeight="1" x14ac:dyDescent="0.25">
      <c r="A46" s="35" t="str">
        <f>_xlfn.CONCAT(LEFT(Table1[[#This Row],[Dimension]],1),TEXT(Table1[[#This Row],[Cluster]],"00"),Table1[[#This Row],[Fragecode]])</f>
        <v>H03d</v>
      </c>
      <c r="B46" s="41" t="s">
        <v>10</v>
      </c>
      <c r="C46" s="33">
        <v>3</v>
      </c>
      <c r="D46" s="33" t="s">
        <v>144</v>
      </c>
      <c r="E46" s="31" t="s">
        <v>345</v>
      </c>
      <c r="F46" s="31" t="s">
        <v>94</v>
      </c>
      <c r="G46" s="31" t="s">
        <v>363</v>
      </c>
      <c r="H46" s="31" t="s">
        <v>364</v>
      </c>
      <c r="I46" s="31" t="s">
        <v>365</v>
      </c>
      <c r="J46" s="31" t="s">
        <v>366</v>
      </c>
      <c r="K46" s="31" t="s">
        <v>367</v>
      </c>
      <c r="L46" s="31" t="s">
        <v>368</v>
      </c>
      <c r="M46" s="33">
        <v>1</v>
      </c>
      <c r="N46" s="33">
        <v>0.4</v>
      </c>
    </row>
    <row r="47" spans="1:14" ht="81.75" customHeight="1" x14ac:dyDescent="0.25">
      <c r="A47" s="35" t="str">
        <f>_xlfn.CONCAT(LEFT(Table1[[#This Row],[Dimension]],1),TEXT(Table1[[#This Row],[Cluster]],"00"),Table1[[#This Row],[Fragecode]])</f>
        <v>H03e</v>
      </c>
      <c r="B47" s="41" t="s">
        <v>10</v>
      </c>
      <c r="C47" s="33">
        <v>3</v>
      </c>
      <c r="D47" s="33" t="s">
        <v>150</v>
      </c>
      <c r="E47" s="31" t="s">
        <v>345</v>
      </c>
      <c r="F47" s="31"/>
      <c r="G47" s="31" t="s">
        <v>369</v>
      </c>
      <c r="H47" s="31"/>
      <c r="I47" s="31" t="s">
        <v>370</v>
      </c>
      <c r="J47" s="31" t="s">
        <v>371</v>
      </c>
      <c r="K47" s="31" t="s">
        <v>372</v>
      </c>
      <c r="L47" s="31" t="s">
        <v>373</v>
      </c>
      <c r="M47" s="33">
        <v>1</v>
      </c>
      <c r="N47" s="33">
        <v>0.8</v>
      </c>
    </row>
    <row r="48" spans="1:14" ht="82.5" customHeight="1" x14ac:dyDescent="0.25">
      <c r="A48" s="35" t="str">
        <f>_xlfn.CONCAT(LEFT(Table1[[#This Row],[Dimension]],1),TEXT(Table1[[#This Row],[Cluster]],"00"),Table1[[#This Row],[Fragecode]])</f>
        <v>H03f</v>
      </c>
      <c r="B48" s="41" t="s">
        <v>10</v>
      </c>
      <c r="C48" s="33">
        <v>3</v>
      </c>
      <c r="D48" s="33" t="s">
        <v>156</v>
      </c>
      <c r="E48" s="31" t="s">
        <v>345</v>
      </c>
      <c r="F48" s="31"/>
      <c r="G48" s="31" t="s">
        <v>374</v>
      </c>
      <c r="H48" s="31"/>
      <c r="I48" s="31" t="s">
        <v>375</v>
      </c>
      <c r="J48" s="31" t="s">
        <v>376</v>
      </c>
      <c r="K48" s="31" t="s">
        <v>377</v>
      </c>
      <c r="L48" s="31" t="s">
        <v>378</v>
      </c>
      <c r="M48" s="33">
        <v>1</v>
      </c>
      <c r="N48" s="33">
        <v>1</v>
      </c>
    </row>
    <row r="49" spans="1:14" ht="249" customHeight="1" x14ac:dyDescent="0.25">
      <c r="A49" s="35" t="str">
        <f>_xlfn.CONCAT(LEFT(Table1[[#This Row],[Dimension]],1),TEXT(Table1[[#This Row],[Cluster]],"00"),Table1[[#This Row],[Fragecode]])</f>
        <v>H03g</v>
      </c>
      <c r="B49" s="41" t="s">
        <v>10</v>
      </c>
      <c r="C49" s="33">
        <v>3</v>
      </c>
      <c r="D49" s="33" t="s">
        <v>218</v>
      </c>
      <c r="E49" s="31" t="s">
        <v>345</v>
      </c>
      <c r="F49" s="31"/>
      <c r="G49" s="151" t="s">
        <v>379</v>
      </c>
      <c r="H49" s="151" t="s">
        <v>380</v>
      </c>
      <c r="I49" s="151" t="s">
        <v>381</v>
      </c>
      <c r="J49" s="151" t="s">
        <v>382</v>
      </c>
      <c r="K49" s="151" t="s">
        <v>383</v>
      </c>
      <c r="L49" s="151" t="s">
        <v>384</v>
      </c>
      <c r="M49" s="33">
        <v>1</v>
      </c>
      <c r="N49" s="33">
        <v>0.4</v>
      </c>
    </row>
    <row r="50" spans="1:14" ht="60" x14ac:dyDescent="0.25">
      <c r="A50" s="35" t="str">
        <f>_xlfn.CONCAT(LEFT(Table1[[#This Row],[Dimension]],1),TEXT(Table1[[#This Row],[Cluster]],"00"),Table1[[#This Row],[Fragecode]])</f>
        <v>T01a</v>
      </c>
      <c r="B50" s="41" t="s">
        <v>12</v>
      </c>
      <c r="C50" s="33">
        <v>1</v>
      </c>
      <c r="D50" s="33" t="s">
        <v>92</v>
      </c>
      <c r="E50" s="31" t="s">
        <v>385</v>
      </c>
      <c r="F50" s="31" t="s">
        <v>94</v>
      </c>
      <c r="G50" s="31" t="s">
        <v>386</v>
      </c>
      <c r="H50" s="31" t="s">
        <v>387</v>
      </c>
      <c r="I50" s="31" t="s">
        <v>388</v>
      </c>
      <c r="J50" s="31" t="s">
        <v>389</v>
      </c>
      <c r="K50" s="31" t="s">
        <v>390</v>
      </c>
      <c r="L50" s="31" t="s">
        <v>391</v>
      </c>
      <c r="M50" s="33">
        <v>1</v>
      </c>
      <c r="N50" s="33">
        <v>0.8</v>
      </c>
    </row>
    <row r="51" spans="1:14" ht="75" x14ac:dyDescent="0.25">
      <c r="A51" s="35" t="str">
        <f>_xlfn.CONCAT(LEFT(Table1[[#This Row],[Dimension]],1),TEXT(Table1[[#This Row],[Cluster]],"00"),Table1[[#This Row],[Fragecode]])</f>
        <v>T01b</v>
      </c>
      <c r="B51" s="41" t="s">
        <v>12</v>
      </c>
      <c r="C51" s="33">
        <v>1</v>
      </c>
      <c r="D51" s="33" t="s">
        <v>101</v>
      </c>
      <c r="E51" s="31" t="s">
        <v>385</v>
      </c>
      <c r="F51" s="31" t="s">
        <v>94</v>
      </c>
      <c r="G51" s="31" t="s">
        <v>392</v>
      </c>
      <c r="H51" s="31" t="s">
        <v>393</v>
      </c>
      <c r="I51" s="31" t="s">
        <v>394</v>
      </c>
      <c r="J51" s="31" t="s">
        <v>395</v>
      </c>
      <c r="K51" s="31" t="s">
        <v>396</v>
      </c>
      <c r="L51" s="31" t="s">
        <v>397</v>
      </c>
      <c r="M51" s="33">
        <v>1</v>
      </c>
      <c r="N51" s="33">
        <v>1</v>
      </c>
    </row>
    <row r="52" spans="1:14" ht="75" x14ac:dyDescent="0.25">
      <c r="A52" s="35" t="str">
        <f>_xlfn.CONCAT(LEFT(Table1[[#This Row],[Dimension]],1),TEXT(Table1[[#This Row],[Cluster]],"00"),Table1[[#This Row],[Fragecode]])</f>
        <v>T01c</v>
      </c>
      <c r="B52" s="41" t="s">
        <v>12</v>
      </c>
      <c r="C52" s="33">
        <v>1</v>
      </c>
      <c r="D52" s="33" t="s">
        <v>121</v>
      </c>
      <c r="E52" s="31" t="s">
        <v>385</v>
      </c>
      <c r="F52" s="31" t="s">
        <v>163</v>
      </c>
      <c r="G52" s="31" t="s">
        <v>398</v>
      </c>
      <c r="H52" s="31" t="s">
        <v>399</v>
      </c>
      <c r="I52" s="31" t="s">
        <v>400</v>
      </c>
      <c r="J52" s="31" t="s">
        <v>401</v>
      </c>
      <c r="K52" s="31" t="s">
        <v>402</v>
      </c>
      <c r="L52" s="31" t="s">
        <v>403</v>
      </c>
      <c r="M52" s="33">
        <v>1</v>
      </c>
      <c r="N52" s="33">
        <v>1</v>
      </c>
    </row>
    <row r="53" spans="1:14" ht="60.75" customHeight="1" x14ac:dyDescent="0.25">
      <c r="A53" s="35" t="str">
        <f>_xlfn.CONCAT(LEFT(Table1[[#This Row],[Dimension]],1),TEXT(Table1[[#This Row],[Cluster]],"00"),Table1[[#This Row],[Fragecode]])</f>
        <v>T02a</v>
      </c>
      <c r="B53" s="41" t="s">
        <v>12</v>
      </c>
      <c r="C53" s="33">
        <v>2</v>
      </c>
      <c r="D53" s="33" t="s">
        <v>92</v>
      </c>
      <c r="E53" s="31" t="s">
        <v>404</v>
      </c>
      <c r="F53" s="31" t="s">
        <v>94</v>
      </c>
      <c r="G53" s="31" t="s">
        <v>405</v>
      </c>
      <c r="H53" s="31" t="s">
        <v>406</v>
      </c>
      <c r="I53" s="31" t="s">
        <v>407</v>
      </c>
      <c r="J53" s="31" t="s">
        <v>408</v>
      </c>
      <c r="K53" s="31" t="s">
        <v>409</v>
      </c>
      <c r="L53" s="31" t="s">
        <v>410</v>
      </c>
      <c r="M53" s="33">
        <v>1</v>
      </c>
      <c r="N53" s="33">
        <v>0.75</v>
      </c>
    </row>
    <row r="54" spans="1:14" ht="105" x14ac:dyDescent="0.25">
      <c r="A54" s="35" t="str">
        <f>_xlfn.CONCAT(LEFT(Table1[[#This Row],[Dimension]],1),TEXT(Table1[[#This Row],[Cluster]],"00"),Table1[[#This Row],[Fragecode]])</f>
        <v>T02b</v>
      </c>
      <c r="B54" s="41" t="s">
        <v>12</v>
      </c>
      <c r="C54" s="33">
        <v>2</v>
      </c>
      <c r="D54" s="33" t="s">
        <v>101</v>
      </c>
      <c r="E54" s="31" t="s">
        <v>404</v>
      </c>
      <c r="F54" s="31" t="s">
        <v>94</v>
      </c>
      <c r="G54" s="31" t="s">
        <v>411</v>
      </c>
      <c r="H54" s="31" t="s">
        <v>412</v>
      </c>
      <c r="I54" s="31" t="s">
        <v>413</v>
      </c>
      <c r="J54" s="31" t="s">
        <v>414</v>
      </c>
      <c r="K54" s="31" t="s">
        <v>415</v>
      </c>
      <c r="L54" s="31" t="s">
        <v>416</v>
      </c>
      <c r="M54" s="33">
        <v>1</v>
      </c>
      <c r="N54" s="33">
        <v>0.85</v>
      </c>
    </row>
    <row r="55" spans="1:14" ht="45" x14ac:dyDescent="0.25">
      <c r="A55" s="35" t="str">
        <f>_xlfn.CONCAT(LEFT(Table1[[#This Row],[Dimension]],1),TEXT(Table1[[#This Row],[Cluster]],"00"),Table1[[#This Row],[Fragecode]])</f>
        <v>T03a</v>
      </c>
      <c r="B55" s="41" t="s">
        <v>12</v>
      </c>
      <c r="C55" s="33">
        <v>3</v>
      </c>
      <c r="D55" s="33" t="s">
        <v>92</v>
      </c>
      <c r="E55" s="31" t="s">
        <v>417</v>
      </c>
      <c r="F55" s="31" t="s">
        <v>94</v>
      </c>
      <c r="G55" s="31" t="s">
        <v>418</v>
      </c>
      <c r="H55" s="31" t="s">
        <v>419</v>
      </c>
      <c r="I55" s="31" t="s">
        <v>420</v>
      </c>
      <c r="J55" s="31" t="s">
        <v>421</v>
      </c>
      <c r="K55" s="31" t="s">
        <v>422</v>
      </c>
      <c r="L55" s="31" t="s">
        <v>423</v>
      </c>
      <c r="M55" s="33">
        <v>1</v>
      </c>
      <c r="N55" s="33">
        <v>0.85</v>
      </c>
    </row>
    <row r="56" spans="1:14" ht="82.5" customHeight="1" x14ac:dyDescent="0.25">
      <c r="A56" s="35" t="str">
        <f>_xlfn.CONCAT(LEFT(Table1[[#This Row],[Dimension]],1),TEXT(Table1[[#This Row],[Cluster]],"00"),Table1[[#This Row],[Fragecode]])</f>
        <v>T03b</v>
      </c>
      <c r="B56" s="41" t="s">
        <v>12</v>
      </c>
      <c r="C56" s="33">
        <v>3</v>
      </c>
      <c r="D56" s="33" t="s">
        <v>101</v>
      </c>
      <c r="E56" s="31" t="s">
        <v>417</v>
      </c>
      <c r="F56" s="31" t="s">
        <v>94</v>
      </c>
      <c r="G56" s="31" t="s">
        <v>424</v>
      </c>
      <c r="H56" s="31" t="s">
        <v>425</v>
      </c>
      <c r="I56" s="31" t="s">
        <v>426</v>
      </c>
      <c r="J56" s="31" t="s">
        <v>427</v>
      </c>
      <c r="K56" s="31" t="s">
        <v>428</v>
      </c>
      <c r="L56" s="31" t="s">
        <v>429</v>
      </c>
      <c r="M56" s="33">
        <v>1</v>
      </c>
      <c r="N56" s="33">
        <v>0.85</v>
      </c>
    </row>
    <row r="57" spans="1:14" ht="56.25" customHeight="1" x14ac:dyDescent="0.25">
      <c r="A57" s="35" t="str">
        <f>_xlfn.CONCAT(LEFT(Table1[[#This Row],[Dimension]],1),TEXT(Table1[[#This Row],[Cluster]],"00"),Table1[[#This Row],[Fragecode]])</f>
        <v>T03c</v>
      </c>
      <c r="B57" s="41" t="s">
        <v>12</v>
      </c>
      <c r="C57" s="33">
        <v>3</v>
      </c>
      <c r="D57" s="33" t="s">
        <v>121</v>
      </c>
      <c r="E57" s="31" t="s">
        <v>417</v>
      </c>
      <c r="F57" s="31" t="s">
        <v>94</v>
      </c>
      <c r="G57" s="31" t="s">
        <v>430</v>
      </c>
      <c r="H57" s="31" t="s">
        <v>431</v>
      </c>
      <c r="I57" s="31" t="s">
        <v>432</v>
      </c>
      <c r="J57" s="31" t="s">
        <v>433</v>
      </c>
      <c r="K57" s="31" t="s">
        <v>434</v>
      </c>
      <c r="L57" s="31" t="s">
        <v>435</v>
      </c>
      <c r="M57" s="33">
        <v>1</v>
      </c>
      <c r="N57" s="33">
        <v>0.5</v>
      </c>
    </row>
    <row r="58" spans="1:14" ht="75" x14ac:dyDescent="0.25">
      <c r="A58" s="35" t="str">
        <f>_xlfn.CONCAT(LEFT(Table1[[#This Row],[Dimension]],1),TEXT(Table1[[#This Row],[Cluster]],"00"),Table1[[#This Row],[Fragecode]])</f>
        <v>T03d</v>
      </c>
      <c r="B58" s="41" t="s">
        <v>12</v>
      </c>
      <c r="C58" s="33">
        <v>3</v>
      </c>
      <c r="D58" s="33" t="s">
        <v>144</v>
      </c>
      <c r="E58" s="31" t="s">
        <v>417</v>
      </c>
      <c r="F58" s="31"/>
      <c r="G58" s="31" t="s">
        <v>436</v>
      </c>
      <c r="H58" s="31"/>
      <c r="I58" s="31" t="s">
        <v>437</v>
      </c>
      <c r="J58" s="31" t="s">
        <v>438</v>
      </c>
      <c r="K58" s="31" t="s">
        <v>439</v>
      </c>
      <c r="L58" s="31" t="s">
        <v>440</v>
      </c>
      <c r="M58" s="33">
        <v>1</v>
      </c>
      <c r="N58" s="33">
        <v>0.9</v>
      </c>
    </row>
  </sheetData>
  <phoneticPr fontId="24" type="noConversion"/>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E6D05-6E8A-4C94-8C8A-5E05DCCB4293}">
  <dimension ref="A2:J19"/>
  <sheetViews>
    <sheetView topLeftCell="A7" zoomScaleNormal="100" workbookViewId="0">
      <selection activeCell="D13" sqref="D13"/>
    </sheetView>
  </sheetViews>
  <sheetFormatPr baseColWidth="10" defaultColWidth="11.42578125" defaultRowHeight="15" x14ac:dyDescent="0.25"/>
  <cols>
    <col min="1" max="1" width="5.140625" customWidth="1"/>
    <col min="2" max="2" width="15.42578125" customWidth="1"/>
    <col min="3" max="3" width="36.140625" customWidth="1"/>
    <col min="4" max="4" width="13.140625" customWidth="1"/>
    <col min="5" max="5" width="7.140625" bestFit="1" customWidth="1"/>
    <col min="6" max="6" width="13.28515625" customWidth="1"/>
    <col min="7" max="7" width="8.7109375" customWidth="1"/>
    <col min="8" max="8" width="77.85546875" customWidth="1"/>
    <col min="9" max="9" width="45.85546875" customWidth="1"/>
    <col min="10" max="10" width="16.28515625" customWidth="1"/>
  </cols>
  <sheetData>
    <row r="2" spans="1:10" ht="15.75" thickBot="1" x14ac:dyDescent="0.3"/>
    <row r="3" spans="1:10" ht="68.099999999999994" customHeight="1" thickBot="1" x14ac:dyDescent="0.3">
      <c r="A3" s="4" t="s">
        <v>21</v>
      </c>
      <c r="B3" s="4" t="s">
        <v>441</v>
      </c>
      <c r="C3" s="4" t="s">
        <v>442</v>
      </c>
      <c r="D3" s="4" t="s">
        <v>10</v>
      </c>
      <c r="E3" s="4" t="s">
        <v>12</v>
      </c>
      <c r="F3" s="4" t="s">
        <v>13</v>
      </c>
      <c r="G3" s="4" t="s">
        <v>14</v>
      </c>
      <c r="H3" s="4" t="s">
        <v>443</v>
      </c>
      <c r="I3" s="4" t="s">
        <v>444</v>
      </c>
      <c r="J3" s="4" t="s">
        <v>445</v>
      </c>
    </row>
    <row r="4" spans="1:10" ht="32.1" customHeight="1" x14ac:dyDescent="0.25">
      <c r="A4" s="24">
        <f>16-G4-F4*2-E4*4-D4*8</f>
        <v>1</v>
      </c>
      <c r="B4" s="5" t="s">
        <v>446</v>
      </c>
      <c r="C4" s="6" t="s">
        <v>447</v>
      </c>
      <c r="D4" s="14">
        <v>1</v>
      </c>
      <c r="E4" s="15">
        <v>1</v>
      </c>
      <c r="F4" s="15">
        <v>1</v>
      </c>
      <c r="G4" s="16">
        <v>1</v>
      </c>
      <c r="H4" s="11" t="s">
        <v>448</v>
      </c>
      <c r="I4" s="11" t="s">
        <v>449</v>
      </c>
      <c r="J4" s="11" t="s">
        <v>450</v>
      </c>
    </row>
    <row r="5" spans="1:10" ht="63.75" customHeight="1" x14ac:dyDescent="0.25">
      <c r="A5" s="24">
        <f t="shared" ref="A5:A19" si="0">16-G5-F5*2-E5*4-D5*8</f>
        <v>2</v>
      </c>
      <c r="B5" s="7" t="s">
        <v>451</v>
      </c>
      <c r="C5" s="8" t="s">
        <v>452</v>
      </c>
      <c r="D5" s="17">
        <v>1</v>
      </c>
      <c r="E5" s="18">
        <v>1</v>
      </c>
      <c r="F5" s="18">
        <v>1</v>
      </c>
      <c r="G5" s="19">
        <v>0</v>
      </c>
      <c r="H5" s="12" t="s">
        <v>453</v>
      </c>
      <c r="I5" s="12" t="s">
        <v>454</v>
      </c>
      <c r="J5" s="12" t="s">
        <v>455</v>
      </c>
    </row>
    <row r="6" spans="1:10" ht="76.5" customHeight="1" x14ac:dyDescent="0.25">
      <c r="A6" s="24">
        <f t="shared" si="0"/>
        <v>3</v>
      </c>
      <c r="B6" s="7" t="s">
        <v>456</v>
      </c>
      <c r="C6" s="8" t="s">
        <v>457</v>
      </c>
      <c r="D6" s="17">
        <v>1</v>
      </c>
      <c r="E6" s="18">
        <v>1</v>
      </c>
      <c r="F6" s="18">
        <v>0</v>
      </c>
      <c r="G6" s="19">
        <v>1</v>
      </c>
      <c r="H6" s="12" t="s">
        <v>458</v>
      </c>
      <c r="I6" s="12" t="s">
        <v>459</v>
      </c>
      <c r="J6" s="12" t="s">
        <v>460</v>
      </c>
    </row>
    <row r="7" spans="1:10" ht="68.25" customHeight="1" x14ac:dyDescent="0.25">
      <c r="A7" s="24">
        <f t="shared" si="0"/>
        <v>4</v>
      </c>
      <c r="B7" s="7" t="s">
        <v>461</v>
      </c>
      <c r="C7" s="8" t="s">
        <v>462</v>
      </c>
      <c r="D7" s="17">
        <v>1</v>
      </c>
      <c r="E7" s="18">
        <v>1</v>
      </c>
      <c r="F7" s="18">
        <v>0</v>
      </c>
      <c r="G7" s="19">
        <v>0</v>
      </c>
      <c r="H7" s="12" t="s">
        <v>463</v>
      </c>
      <c r="I7" s="12" t="s">
        <v>464</v>
      </c>
      <c r="J7" s="12" t="s">
        <v>455</v>
      </c>
    </row>
    <row r="8" spans="1:10" ht="65.25" customHeight="1" x14ac:dyDescent="0.25">
      <c r="A8" s="24">
        <f t="shared" si="0"/>
        <v>5</v>
      </c>
      <c r="B8" s="7" t="s">
        <v>465</v>
      </c>
      <c r="C8" s="8" t="s">
        <v>466</v>
      </c>
      <c r="D8" s="17">
        <v>1</v>
      </c>
      <c r="E8" s="18">
        <v>0</v>
      </c>
      <c r="F8" s="18">
        <v>1</v>
      </c>
      <c r="G8" s="19">
        <v>1</v>
      </c>
      <c r="H8" s="12" t="s">
        <v>467</v>
      </c>
      <c r="I8" s="12" t="s">
        <v>468</v>
      </c>
      <c r="J8" s="12" t="s">
        <v>469</v>
      </c>
    </row>
    <row r="9" spans="1:10" ht="141.75" customHeight="1" x14ac:dyDescent="0.25">
      <c r="A9" s="24">
        <f t="shared" si="0"/>
        <v>6</v>
      </c>
      <c r="B9" s="7" t="s">
        <v>470</v>
      </c>
      <c r="C9" s="8" t="s">
        <v>471</v>
      </c>
      <c r="D9" s="17">
        <v>1</v>
      </c>
      <c r="E9" s="18">
        <v>0</v>
      </c>
      <c r="F9" s="18">
        <v>1</v>
      </c>
      <c r="G9" s="19">
        <v>0</v>
      </c>
      <c r="H9" s="12" t="s">
        <v>472</v>
      </c>
      <c r="I9" s="12" t="s">
        <v>473</v>
      </c>
      <c r="J9" s="12" t="s">
        <v>455</v>
      </c>
    </row>
    <row r="10" spans="1:10" ht="76.5" customHeight="1" x14ac:dyDescent="0.25">
      <c r="A10" s="24">
        <f t="shared" si="0"/>
        <v>7</v>
      </c>
      <c r="B10" s="7" t="s">
        <v>474</v>
      </c>
      <c r="C10" s="8" t="s">
        <v>475</v>
      </c>
      <c r="D10" s="17">
        <v>1</v>
      </c>
      <c r="E10" s="18">
        <v>0</v>
      </c>
      <c r="F10" s="18">
        <v>0</v>
      </c>
      <c r="G10" s="19">
        <v>1</v>
      </c>
      <c r="H10" s="12" t="s">
        <v>476</v>
      </c>
      <c r="I10" s="12" t="s">
        <v>477</v>
      </c>
      <c r="J10" s="12" t="s">
        <v>460</v>
      </c>
    </row>
    <row r="11" spans="1:10" ht="75" x14ac:dyDescent="0.25">
      <c r="A11" s="24">
        <f t="shared" si="0"/>
        <v>8</v>
      </c>
      <c r="B11" s="7" t="s">
        <v>478</v>
      </c>
      <c r="C11" s="8" t="s">
        <v>479</v>
      </c>
      <c r="D11" s="17">
        <v>1</v>
      </c>
      <c r="E11" s="18">
        <v>0</v>
      </c>
      <c r="F11" s="18">
        <v>0</v>
      </c>
      <c r="G11" s="19">
        <v>0</v>
      </c>
      <c r="H11" s="12" t="s">
        <v>480</v>
      </c>
      <c r="I11" s="12" t="s">
        <v>481</v>
      </c>
      <c r="J11" s="12" t="s">
        <v>455</v>
      </c>
    </row>
    <row r="12" spans="1:10" ht="48" customHeight="1" x14ac:dyDescent="0.25">
      <c r="A12" s="24">
        <f t="shared" si="0"/>
        <v>9</v>
      </c>
      <c r="B12" s="7" t="s">
        <v>482</v>
      </c>
      <c r="C12" s="8" t="s">
        <v>483</v>
      </c>
      <c r="D12" s="17">
        <v>0</v>
      </c>
      <c r="E12" s="18">
        <v>1</v>
      </c>
      <c r="F12" s="18">
        <v>1</v>
      </c>
      <c r="G12" s="19">
        <v>1</v>
      </c>
      <c r="H12" s="12" t="s">
        <v>484</v>
      </c>
      <c r="I12" s="12" t="s">
        <v>485</v>
      </c>
      <c r="J12" s="12" t="s">
        <v>486</v>
      </c>
    </row>
    <row r="13" spans="1:10" ht="48" customHeight="1" x14ac:dyDescent="0.25">
      <c r="A13" s="24">
        <f t="shared" si="0"/>
        <v>10</v>
      </c>
      <c r="B13" s="7" t="s">
        <v>487</v>
      </c>
      <c r="C13" s="8" t="s">
        <v>488</v>
      </c>
      <c r="D13" s="17">
        <v>0</v>
      </c>
      <c r="E13" s="18">
        <v>1</v>
      </c>
      <c r="F13" s="18">
        <v>1</v>
      </c>
      <c r="G13" s="19">
        <v>0</v>
      </c>
      <c r="H13" s="12" t="s">
        <v>489</v>
      </c>
      <c r="I13" s="12" t="s">
        <v>490</v>
      </c>
      <c r="J13" s="12" t="s">
        <v>455</v>
      </c>
    </row>
    <row r="14" spans="1:10" ht="64.5" customHeight="1" x14ac:dyDescent="0.25">
      <c r="A14" s="24">
        <f t="shared" si="0"/>
        <v>11</v>
      </c>
      <c r="B14" s="7" t="s">
        <v>491</v>
      </c>
      <c r="C14" s="8" t="s">
        <v>492</v>
      </c>
      <c r="D14" s="17">
        <v>0</v>
      </c>
      <c r="E14" s="18">
        <v>1</v>
      </c>
      <c r="F14" s="18">
        <v>0</v>
      </c>
      <c r="G14" s="19">
        <v>1</v>
      </c>
      <c r="H14" s="12" t="s">
        <v>493</v>
      </c>
      <c r="I14" s="12" t="s">
        <v>494</v>
      </c>
      <c r="J14" s="12" t="s">
        <v>460</v>
      </c>
    </row>
    <row r="15" spans="1:10" ht="64.5" customHeight="1" x14ac:dyDescent="0.25">
      <c r="A15" s="24">
        <f t="shared" si="0"/>
        <v>12</v>
      </c>
      <c r="B15" s="7" t="s">
        <v>495</v>
      </c>
      <c r="C15" s="8" t="s">
        <v>496</v>
      </c>
      <c r="D15" s="17">
        <v>0</v>
      </c>
      <c r="E15" s="18">
        <v>1</v>
      </c>
      <c r="F15" s="18">
        <v>0</v>
      </c>
      <c r="G15" s="19">
        <v>0</v>
      </c>
      <c r="H15" s="12" t="s">
        <v>497</v>
      </c>
      <c r="I15" s="12" t="s">
        <v>498</v>
      </c>
      <c r="J15" s="12" t="s">
        <v>455</v>
      </c>
    </row>
    <row r="16" spans="1:10" ht="63" customHeight="1" x14ac:dyDescent="0.25">
      <c r="A16" s="24">
        <f t="shared" si="0"/>
        <v>13</v>
      </c>
      <c r="B16" s="7" t="s">
        <v>499</v>
      </c>
      <c r="C16" s="8" t="s">
        <v>500</v>
      </c>
      <c r="D16" s="17">
        <v>0</v>
      </c>
      <c r="E16" s="18">
        <v>0</v>
      </c>
      <c r="F16" s="18">
        <v>1</v>
      </c>
      <c r="G16" s="19">
        <v>1</v>
      </c>
      <c r="H16" s="12" t="s">
        <v>501</v>
      </c>
      <c r="I16" s="12" t="s">
        <v>502</v>
      </c>
      <c r="J16" s="12" t="s">
        <v>469</v>
      </c>
    </row>
    <row r="17" spans="1:10" ht="73.5" customHeight="1" x14ac:dyDescent="0.25">
      <c r="A17" s="24">
        <f t="shared" si="0"/>
        <v>14</v>
      </c>
      <c r="B17" s="7" t="s">
        <v>503</v>
      </c>
      <c r="C17" s="8" t="s">
        <v>504</v>
      </c>
      <c r="D17" s="17">
        <v>0</v>
      </c>
      <c r="E17" s="18">
        <v>0</v>
      </c>
      <c r="F17" s="18">
        <v>1</v>
      </c>
      <c r="G17" s="19">
        <v>0</v>
      </c>
      <c r="H17" s="12" t="s">
        <v>505</v>
      </c>
      <c r="I17" s="12" t="s">
        <v>506</v>
      </c>
      <c r="J17" s="12" t="s">
        <v>469</v>
      </c>
    </row>
    <row r="18" spans="1:10" ht="102" customHeight="1" x14ac:dyDescent="0.25">
      <c r="A18" s="24">
        <f t="shared" si="0"/>
        <v>15</v>
      </c>
      <c r="B18" s="7" t="s">
        <v>507</v>
      </c>
      <c r="C18" s="8" t="s">
        <v>508</v>
      </c>
      <c r="D18" s="17">
        <v>0</v>
      </c>
      <c r="E18" s="18">
        <v>0</v>
      </c>
      <c r="F18" s="18">
        <v>0</v>
      </c>
      <c r="G18" s="19">
        <v>1</v>
      </c>
      <c r="H18" s="12" t="s">
        <v>509</v>
      </c>
      <c r="I18" s="12" t="s">
        <v>510</v>
      </c>
      <c r="J18" s="12" t="s">
        <v>460</v>
      </c>
    </row>
    <row r="19" spans="1:10" ht="33" customHeight="1" thickBot="1" x14ac:dyDescent="0.3">
      <c r="A19" s="24">
        <f t="shared" si="0"/>
        <v>16</v>
      </c>
      <c r="B19" s="9" t="s">
        <v>511</v>
      </c>
      <c r="C19" s="10" t="s">
        <v>512</v>
      </c>
      <c r="D19" s="20">
        <v>0</v>
      </c>
      <c r="E19" s="21">
        <v>0</v>
      </c>
      <c r="F19" s="21">
        <v>0</v>
      </c>
      <c r="G19" s="22">
        <v>0</v>
      </c>
      <c r="H19" s="13" t="s">
        <v>513</v>
      </c>
      <c r="I19" s="13" t="s">
        <v>514</v>
      </c>
      <c r="J19" s="13" t="s">
        <v>515</v>
      </c>
    </row>
  </sheetData>
  <sheetProtection sheet="1" objects="1" scenarios="1"/>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54A5A-7FE5-1249-94E5-959B277B7974}">
  <dimension ref="A1:C17"/>
  <sheetViews>
    <sheetView workbookViewId="0">
      <selection activeCell="C2" sqref="C2"/>
    </sheetView>
  </sheetViews>
  <sheetFormatPr baseColWidth="10" defaultColWidth="11.42578125" defaultRowHeight="15" x14ac:dyDescent="0.25"/>
  <cols>
    <col min="1" max="1" width="3.140625" bestFit="1" customWidth="1"/>
    <col min="2" max="2" width="44.28515625" style="28" bestFit="1" customWidth="1"/>
    <col min="3" max="3" width="86.42578125" customWidth="1"/>
  </cols>
  <sheetData>
    <row r="1" spans="1:3" ht="32.25" thickBot="1" x14ac:dyDescent="0.3">
      <c r="A1" s="23" t="s">
        <v>21</v>
      </c>
      <c r="B1" s="3" t="s">
        <v>516</v>
      </c>
      <c r="C1" s="3" t="s">
        <v>37</v>
      </c>
    </row>
    <row r="2" spans="1:3" ht="69" customHeight="1" x14ac:dyDescent="0.25">
      <c r="A2" s="24">
        <v>1</v>
      </c>
      <c r="B2" s="5" t="s">
        <v>450</v>
      </c>
      <c r="C2" s="11" t="s">
        <v>517</v>
      </c>
    </row>
    <row r="3" spans="1:3" ht="30" x14ac:dyDescent="0.25">
      <c r="A3" s="24">
        <v>2</v>
      </c>
      <c r="B3" s="7" t="s">
        <v>455</v>
      </c>
      <c r="C3" s="12" t="s">
        <v>518</v>
      </c>
    </row>
    <row r="4" spans="1:3" ht="75" x14ac:dyDescent="0.25">
      <c r="A4" s="24">
        <v>3</v>
      </c>
      <c r="B4" s="7" t="s">
        <v>519</v>
      </c>
      <c r="C4" s="12" t="s">
        <v>520</v>
      </c>
    </row>
    <row r="5" spans="1:3" ht="75" x14ac:dyDescent="0.25">
      <c r="A5" s="24">
        <v>4</v>
      </c>
      <c r="B5" s="7" t="s">
        <v>486</v>
      </c>
      <c r="C5" s="12" t="s">
        <v>521</v>
      </c>
    </row>
    <row r="6" spans="1:3" x14ac:dyDescent="0.25">
      <c r="A6" s="24">
        <v>5</v>
      </c>
      <c r="B6" s="7" t="s">
        <v>522</v>
      </c>
      <c r="C6" s="12" t="s">
        <v>523</v>
      </c>
    </row>
    <row r="7" spans="1:3" ht="45" x14ac:dyDescent="0.25">
      <c r="A7" s="24">
        <v>6</v>
      </c>
      <c r="B7" s="7" t="s">
        <v>524</v>
      </c>
      <c r="C7" s="12" t="s">
        <v>525</v>
      </c>
    </row>
    <row r="8" spans="1:3" ht="30" x14ac:dyDescent="0.25">
      <c r="A8" s="24">
        <v>7</v>
      </c>
      <c r="B8" s="7" t="s">
        <v>526</v>
      </c>
      <c r="C8" s="12" t="s">
        <v>527</v>
      </c>
    </row>
    <row r="9" spans="1:3" ht="60" x14ac:dyDescent="0.25">
      <c r="A9" s="24">
        <v>8</v>
      </c>
      <c r="B9" s="7" t="s">
        <v>528</v>
      </c>
      <c r="C9" s="12" t="s">
        <v>529</v>
      </c>
    </row>
    <row r="10" spans="1:3" ht="45" x14ac:dyDescent="0.25">
      <c r="A10" s="24">
        <v>9</v>
      </c>
      <c r="B10" s="7" t="s">
        <v>530</v>
      </c>
      <c r="C10" s="12" t="s">
        <v>531</v>
      </c>
    </row>
    <row r="11" spans="1:3" ht="45" x14ac:dyDescent="0.25">
      <c r="A11" s="24">
        <v>10</v>
      </c>
      <c r="B11" s="7" t="s">
        <v>469</v>
      </c>
      <c r="C11" s="12" t="s">
        <v>532</v>
      </c>
    </row>
    <row r="12" spans="1:3" ht="60" x14ac:dyDescent="0.25">
      <c r="A12" s="24">
        <v>11</v>
      </c>
      <c r="B12" s="7" t="s">
        <v>533</v>
      </c>
      <c r="C12" s="12" t="s">
        <v>534</v>
      </c>
    </row>
    <row r="13" spans="1:3" ht="30" x14ac:dyDescent="0.25">
      <c r="A13" s="24">
        <v>12</v>
      </c>
      <c r="B13" s="7" t="s">
        <v>535</v>
      </c>
      <c r="C13" s="12" t="s">
        <v>536</v>
      </c>
    </row>
    <row r="14" spans="1:3" ht="30" x14ac:dyDescent="0.25">
      <c r="A14" s="24">
        <v>13</v>
      </c>
      <c r="B14" s="7" t="s">
        <v>537</v>
      </c>
      <c r="C14" s="12" t="s">
        <v>538</v>
      </c>
    </row>
    <row r="15" spans="1:3" ht="30" x14ac:dyDescent="0.25">
      <c r="A15" s="24">
        <v>14</v>
      </c>
      <c r="B15" s="7" t="s">
        <v>539</v>
      </c>
      <c r="C15" s="12" t="s">
        <v>540</v>
      </c>
    </row>
    <row r="16" spans="1:3" ht="45" x14ac:dyDescent="0.25">
      <c r="A16" s="24">
        <v>15</v>
      </c>
      <c r="B16" s="7" t="s">
        <v>515</v>
      </c>
      <c r="C16" s="12" t="s">
        <v>541</v>
      </c>
    </row>
    <row r="17" spans="1:3" ht="45" x14ac:dyDescent="0.25">
      <c r="A17" s="25">
        <v>16</v>
      </c>
      <c r="B17" s="7" t="s">
        <v>542</v>
      </c>
      <c r="C17" s="12" t="s">
        <v>543</v>
      </c>
    </row>
  </sheetData>
  <sheetProtection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82C1-2E8D-104F-9A05-3DB9F7C53F9F}">
  <dimension ref="A1:M25"/>
  <sheetViews>
    <sheetView workbookViewId="0">
      <selection activeCell="F5" sqref="F5"/>
    </sheetView>
  </sheetViews>
  <sheetFormatPr baseColWidth="10" defaultColWidth="11.42578125" defaultRowHeight="18.95" customHeight="1" x14ac:dyDescent="0.25"/>
  <cols>
    <col min="1" max="1" width="18.140625" bestFit="1" customWidth="1"/>
    <col min="3" max="3" width="13.28515625" style="43" customWidth="1"/>
    <col min="4" max="4" width="12.140625" bestFit="1" customWidth="1"/>
    <col min="6" max="6" width="18" style="43" customWidth="1"/>
    <col min="7" max="7" width="10.7109375" customWidth="1"/>
    <col min="8" max="8" width="13.140625" bestFit="1" customWidth="1"/>
    <col min="9" max="9" width="33" bestFit="1" customWidth="1"/>
    <col min="10" max="10" width="8.140625" customWidth="1"/>
    <col min="11" max="11" width="3.28515625" bestFit="1" customWidth="1"/>
  </cols>
  <sheetData>
    <row r="1" spans="1:13" ht="18.95" customHeight="1" x14ac:dyDescent="0.25">
      <c r="A1" s="243" t="s">
        <v>6</v>
      </c>
      <c r="B1" s="243"/>
      <c r="D1" s="243" t="s">
        <v>7</v>
      </c>
      <c r="E1" s="243"/>
      <c r="G1" s="243" t="s">
        <v>28</v>
      </c>
      <c r="H1" s="243"/>
      <c r="I1" s="243"/>
      <c r="K1" s="243"/>
      <c r="L1" s="243"/>
      <c r="M1" s="243"/>
    </row>
    <row r="2" spans="1:13" ht="18.95" customHeight="1" x14ac:dyDescent="0.25">
      <c r="A2" t="s">
        <v>51</v>
      </c>
      <c r="B2" t="s">
        <v>544</v>
      </c>
      <c r="C2" s="43" t="s">
        <v>545</v>
      </c>
      <c r="D2" t="s">
        <v>546</v>
      </c>
      <c r="E2" t="s">
        <v>544</v>
      </c>
      <c r="F2" s="43" t="s">
        <v>545</v>
      </c>
      <c r="H2" s="38" t="s">
        <v>39</v>
      </c>
    </row>
    <row r="3" spans="1:13" ht="18.95" customHeight="1" x14ac:dyDescent="0.25">
      <c r="A3" t="s">
        <v>39</v>
      </c>
      <c r="B3" s="42">
        <v>0</v>
      </c>
      <c r="C3" s="43">
        <v>1</v>
      </c>
      <c r="D3" t="s">
        <v>547</v>
      </c>
      <c r="E3">
        <v>0.33</v>
      </c>
      <c r="F3" s="43">
        <v>1</v>
      </c>
      <c r="H3" s="38" t="s">
        <v>548</v>
      </c>
      <c r="I3" s="39" t="s">
        <v>549</v>
      </c>
      <c r="J3" s="38"/>
      <c r="M3" s="39"/>
    </row>
    <row r="4" spans="1:13" ht="18.95" customHeight="1" x14ac:dyDescent="0.25">
      <c r="A4" t="s">
        <v>550</v>
      </c>
      <c r="B4" s="42">
        <v>0.5</v>
      </c>
      <c r="C4" s="43">
        <v>2</v>
      </c>
      <c r="D4" t="s">
        <v>551</v>
      </c>
      <c r="E4">
        <v>0.66</v>
      </c>
      <c r="F4" s="43">
        <v>2</v>
      </c>
      <c r="G4" s="40"/>
      <c r="H4" s="38"/>
      <c r="I4" s="39"/>
      <c r="J4" s="38"/>
      <c r="M4" s="39"/>
    </row>
    <row r="5" spans="1:13" ht="18.95" customHeight="1" x14ac:dyDescent="0.25">
      <c r="A5" t="s">
        <v>548</v>
      </c>
      <c r="B5" s="42">
        <v>1</v>
      </c>
      <c r="C5" s="43">
        <v>3</v>
      </c>
      <c r="D5" t="s">
        <v>552</v>
      </c>
      <c r="E5">
        <v>1</v>
      </c>
      <c r="F5" s="43">
        <v>3</v>
      </c>
      <c r="G5" s="40"/>
      <c r="H5" s="38"/>
      <c r="I5" s="39"/>
      <c r="J5" s="38"/>
      <c r="M5" s="39"/>
    </row>
    <row r="6" spans="1:13" ht="18.95" customHeight="1" x14ac:dyDescent="0.25">
      <c r="A6" t="s">
        <v>553</v>
      </c>
      <c r="B6" s="42">
        <v>0</v>
      </c>
      <c r="G6" s="40"/>
      <c r="H6" s="38"/>
      <c r="I6" s="39"/>
      <c r="J6" s="38"/>
      <c r="M6" s="39"/>
    </row>
    <row r="7" spans="1:13" ht="18.95" customHeight="1" x14ac:dyDescent="0.25">
      <c r="A7" t="s">
        <v>554</v>
      </c>
      <c r="B7" t="s">
        <v>555</v>
      </c>
      <c r="G7" s="40"/>
      <c r="H7" s="38"/>
      <c r="I7" s="38"/>
      <c r="J7" s="38"/>
      <c r="M7" s="39"/>
    </row>
    <row r="8" spans="1:13" ht="18.95" customHeight="1" x14ac:dyDescent="0.25">
      <c r="G8" s="40"/>
      <c r="H8" s="38"/>
      <c r="I8" s="38"/>
      <c r="J8" s="38"/>
      <c r="M8" s="39"/>
    </row>
    <row r="9" spans="1:13" ht="18.95" customHeight="1" x14ac:dyDescent="0.25">
      <c r="G9" s="40"/>
      <c r="H9" s="38"/>
      <c r="I9" s="38"/>
      <c r="J9" s="38"/>
      <c r="M9" s="39"/>
    </row>
    <row r="10" spans="1:13" ht="18.95" customHeight="1" x14ac:dyDescent="0.25">
      <c r="G10" s="40"/>
      <c r="H10" s="38"/>
      <c r="I10" s="38"/>
      <c r="J10" s="38"/>
      <c r="M10" s="39"/>
    </row>
    <row r="11" spans="1:13" ht="18.95" customHeight="1" x14ac:dyDescent="0.25">
      <c r="G11" s="40"/>
      <c r="H11" s="38"/>
      <c r="I11" s="38"/>
      <c r="J11" s="38"/>
      <c r="M11" s="39"/>
    </row>
    <row r="12" spans="1:13" ht="18.95" customHeight="1" x14ac:dyDescent="0.25">
      <c r="G12" s="40"/>
      <c r="H12" s="38"/>
      <c r="I12" s="38"/>
      <c r="J12" s="38"/>
      <c r="M12" s="39"/>
    </row>
    <row r="13" spans="1:13" ht="18.95" customHeight="1" x14ac:dyDescent="0.25">
      <c r="G13" s="40"/>
      <c r="H13" s="38"/>
      <c r="I13" s="38"/>
      <c r="J13" s="38"/>
      <c r="M13" s="39"/>
    </row>
    <row r="14" spans="1:13" ht="18.95" customHeight="1" x14ac:dyDescent="0.25">
      <c r="G14" s="40"/>
      <c r="H14" s="38"/>
      <c r="I14" s="38"/>
      <c r="J14" s="38"/>
      <c r="M14" s="39"/>
    </row>
    <row r="15" spans="1:13" ht="18.95" customHeight="1" x14ac:dyDescent="0.25">
      <c r="G15" s="40"/>
      <c r="H15" s="38"/>
      <c r="I15" s="38"/>
      <c r="J15" s="38"/>
      <c r="M15" s="39"/>
    </row>
    <row r="16" spans="1:13" ht="18.95" customHeight="1" x14ac:dyDescent="0.25">
      <c r="G16" s="40"/>
      <c r="H16" s="38"/>
      <c r="I16" s="38"/>
      <c r="J16" s="38"/>
      <c r="M16" s="39"/>
    </row>
    <row r="17" spans="13:13" ht="18.95" customHeight="1" x14ac:dyDescent="0.25">
      <c r="M17" s="39"/>
    </row>
    <row r="18" spans="13:13" ht="18.95" customHeight="1" x14ac:dyDescent="0.25">
      <c r="M18" s="39"/>
    </row>
    <row r="19" spans="13:13" ht="18.95" customHeight="1" x14ac:dyDescent="0.25">
      <c r="M19" s="39"/>
    </row>
    <row r="20" spans="13:13" ht="18.95" customHeight="1" x14ac:dyDescent="0.25">
      <c r="M20" s="39"/>
    </row>
    <row r="21" spans="13:13" ht="18.95" customHeight="1" x14ac:dyDescent="0.25">
      <c r="M21" s="39"/>
    </row>
    <row r="22" spans="13:13" ht="18.95" customHeight="1" x14ac:dyDescent="0.25">
      <c r="M22" s="39"/>
    </row>
    <row r="23" spans="13:13" ht="18.95" customHeight="1" x14ac:dyDescent="0.25">
      <c r="M23" s="39"/>
    </row>
    <row r="24" spans="13:13" ht="18.95" customHeight="1" x14ac:dyDescent="0.25">
      <c r="M24" s="39"/>
    </row>
    <row r="25" spans="13:13" ht="18.95" customHeight="1" x14ac:dyDescent="0.25">
      <c r="M25" s="39"/>
    </row>
  </sheetData>
  <sheetProtection sheet="1" objects="1" scenarios="1"/>
  <mergeCells count="4">
    <mergeCell ref="D1:E1"/>
    <mergeCell ref="A1:B1"/>
    <mergeCell ref="G1:I1"/>
    <mergeCell ref="K1:M1"/>
  </mergeCells>
  <phoneticPr fontId="2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a5ec2c-2ac5-4423-97de-3efee633e5f1">
      <Terms xmlns="http://schemas.microsoft.com/office/infopath/2007/PartnerControls"/>
    </lcf76f155ced4ddcb4097134ff3c332f>
    <TaxCatchAll xmlns="408272ee-2b91-4d4b-981e-947e819780b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7EC175344E4F4DB96838499D9998CF" ma:contentTypeVersion="14" ma:contentTypeDescription="Create a new document." ma:contentTypeScope="" ma:versionID="4cdb23d505709b9144fcc6339368a4b7">
  <xsd:schema xmlns:xsd="http://www.w3.org/2001/XMLSchema" xmlns:xs="http://www.w3.org/2001/XMLSchema" xmlns:p="http://schemas.microsoft.com/office/2006/metadata/properties" xmlns:ns2="67a5ec2c-2ac5-4423-97de-3efee633e5f1" xmlns:ns3="408272ee-2b91-4d4b-981e-947e819780bb" targetNamespace="http://schemas.microsoft.com/office/2006/metadata/properties" ma:root="true" ma:fieldsID="cb98e3cc9ef86cbd0b0def7cffe78a81" ns2:_="" ns3:_="">
    <xsd:import namespace="67a5ec2c-2ac5-4423-97de-3efee633e5f1"/>
    <xsd:import namespace="408272ee-2b91-4d4b-981e-947e819780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5ec2c-2ac5-4423-97de-3efee633e5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a8dd29d-710a-41d5-b55a-eacd060d4a1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8272ee-2b91-4d4b-981e-947e819780b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d12eea8-a4bd-4c81-bccb-d4724fa40137}" ma:internalName="TaxCatchAll" ma:showField="CatchAllData" ma:web="408272ee-2b91-4d4b-981e-947e819780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CBCF74-AB39-44A7-8957-ED4A38AC2CFD}">
  <ds:schemaRefs>
    <ds:schemaRef ds:uri="408272ee-2b91-4d4b-981e-947e819780bb"/>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www.w3.org/XML/1998/namespace"/>
    <ds:schemaRef ds:uri="67a5ec2c-2ac5-4423-97de-3efee633e5f1"/>
    <ds:schemaRef ds:uri="http://schemas.microsoft.com/office/2006/metadata/properties"/>
  </ds:schemaRefs>
</ds:datastoreItem>
</file>

<file path=customXml/itemProps2.xml><?xml version="1.0" encoding="utf-8"?>
<ds:datastoreItem xmlns:ds="http://schemas.openxmlformats.org/officeDocument/2006/customXml" ds:itemID="{553D46D0-7128-42D9-A702-5BAABFE483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5ec2c-2ac5-4423-97de-3efee633e5f1"/>
    <ds:schemaRef ds:uri="408272ee-2b91-4d4b-981e-947e819780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21C58C-3939-4E80-8050-3177BBC751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Anleitung+Lizenz</vt:lpstr>
      <vt:lpstr>Bewertungsbogen</vt:lpstr>
      <vt:lpstr>Auswertung</vt:lpstr>
      <vt:lpstr>Fragenkatalog</vt:lpstr>
      <vt:lpstr>Szenarien</vt:lpstr>
      <vt:lpstr>Handlungsempfehlungen</vt:lpstr>
      <vt:lpstr>LookupTabellen</vt:lpstr>
    </vt:vector>
  </TitlesOfParts>
  <Manager/>
  <Company>Hochschul IT Zentrum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gaidar</dc:creator>
  <cp:keywords/>
  <dc:description/>
  <cp:lastModifiedBy>Thomas-Michael Jahn // Leibniz-IPHT</cp:lastModifiedBy>
  <cp:revision/>
  <dcterms:created xsi:type="dcterms:W3CDTF">2022-05-16T08:11:50Z</dcterms:created>
  <dcterms:modified xsi:type="dcterms:W3CDTF">2026-03-20T07:26:34Z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0x010100CE7EC175344E4F4DB96838499D9998CF</vt:lpwstr>
  </property>
  <property fmtid="{D5CDD505-2E9C-101B-9397-08002B2CF9AE}" pid="3" name="MediaServiceImageTags">
    <vt:lpwstr/>
  </property>
</Properties>
</file>